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10548" tabRatio="797"/>
  </bookViews>
  <sheets>
    <sheet name="Kainos_ref. kainos 2020" sheetId="9" r:id="rId1"/>
    <sheet name="DG_SK, Trumpal. kainos 2020" sheetId="11" r:id="rId2"/>
    <sheet name="SK skaičiavimas_Vidinis" sheetId="13" r:id="rId3"/>
    <sheet name="SK skaičiavimas_Šakiai" sheetId="16" r:id="rId4"/>
  </sheets>
  <definedNames>
    <definedName name="_xlnm._FilterDatabase" localSheetId="1" hidden="1">'DG_SK, Trumpal. kainos 2020'!#REF!</definedName>
    <definedName name="_xlnm._FilterDatabase" localSheetId="0" hidden="1">'Kainos_ref. kainos 2020'!$E$65:$E$68</definedName>
    <definedName name="_xlnm._FilterDatabase" localSheetId="3" hidden="1">'SK skaičiavimas_Šakiai'!#REF!</definedName>
    <definedName name="_xlnm._FilterDatabase" localSheetId="2" hidden="1">'SK skaičiavimas_Vidinis'!#REF!</definedName>
  </definedNames>
  <calcPr calcId="152511"/>
</workbook>
</file>

<file path=xl/calcChain.xml><?xml version="1.0" encoding="utf-8"?>
<calcChain xmlns="http://schemas.openxmlformats.org/spreadsheetml/2006/main">
  <c r="C53" i="16" l="1"/>
  <c r="C56" i="16"/>
  <c r="C42" i="13"/>
  <c r="C39" i="13" s="1"/>
  <c r="C43" i="13"/>
  <c r="D24" i="13"/>
  <c r="I14" i="13"/>
  <c r="F19" i="9" l="1"/>
  <c r="E19" i="9"/>
  <c r="F78" i="9"/>
  <c r="F70" i="9"/>
  <c r="F42" i="9"/>
  <c r="F41" i="9"/>
  <c r="F40" i="9" l="1"/>
  <c r="G79" i="9" l="1"/>
  <c r="G80" i="9"/>
  <c r="F69" i="9"/>
  <c r="F74" i="9" l="1"/>
  <c r="E111" i="9" l="1"/>
  <c r="E110" i="9"/>
  <c r="E55" i="9" l="1"/>
  <c r="C45" i="11" l="1"/>
  <c r="E29" i="9" l="1"/>
  <c r="F30" i="9"/>
  <c r="E31" i="9"/>
  <c r="E30" i="9"/>
  <c r="E32" i="9" l="1"/>
  <c r="E33" i="9"/>
  <c r="E28" i="9"/>
  <c r="F14" i="9"/>
  <c r="F11" i="9" s="1"/>
  <c r="F10" i="9" s="1"/>
  <c r="E14" i="9"/>
  <c r="E11" i="9" s="1"/>
  <c r="E10" i="9" s="1"/>
  <c r="E22" i="9"/>
  <c r="G77" i="9" l="1"/>
  <c r="E75" i="9"/>
  <c r="G84" i="9" l="1"/>
  <c r="G88" i="9"/>
  <c r="G89" i="9"/>
  <c r="G91" i="9"/>
  <c r="E65" i="9"/>
  <c r="E90" i="9"/>
  <c r="E85" i="9" s="1"/>
  <c r="F87" i="9"/>
  <c r="E87" i="9"/>
  <c r="E83" i="9" l="1"/>
  <c r="G87" i="9"/>
  <c r="F86" i="9" l="1"/>
  <c r="G86" i="9" s="1"/>
  <c r="F85" i="9"/>
  <c r="F90" i="9" s="1"/>
  <c r="F92" i="9" l="1"/>
  <c r="G92" i="9" s="1"/>
  <c r="G90" i="9"/>
  <c r="G85" i="9"/>
  <c r="C34" i="16"/>
  <c r="C34" i="13"/>
  <c r="E62" i="9" l="1"/>
  <c r="C33" i="16" l="1"/>
  <c r="C40" i="11" l="1"/>
  <c r="C33" i="13" l="1"/>
  <c r="C11" i="11" l="1"/>
  <c r="D11" i="11"/>
  <c r="E11" i="11"/>
  <c r="F11" i="11"/>
  <c r="G11" i="11"/>
  <c r="AE50" i="11" l="1"/>
  <c r="AQ50" i="11"/>
  <c r="D49" i="11"/>
  <c r="AL50" i="11"/>
  <c r="P50" i="11"/>
  <c r="N50" i="11"/>
  <c r="AJ50" i="11"/>
  <c r="AN50" i="11"/>
  <c r="AF50" i="11"/>
  <c r="AJ49" i="11"/>
  <c r="AN49" i="11"/>
  <c r="AF49" i="11"/>
  <c r="AG50" i="11"/>
  <c r="AK50" i="11"/>
  <c r="AO50" i="11"/>
  <c r="AG49" i="11"/>
  <c r="AK49" i="11"/>
  <c r="AO49" i="11"/>
  <c r="AH50" i="11"/>
  <c r="AP50" i="11"/>
  <c r="AH49" i="11"/>
  <c r="AL49" i="11"/>
  <c r="AP49" i="11"/>
  <c r="AI50" i="11"/>
  <c r="AM50" i="11"/>
  <c r="AI49" i="11"/>
  <c r="AM49" i="11"/>
  <c r="AQ49" i="11"/>
  <c r="U50" i="11"/>
  <c r="Y50" i="11"/>
  <c r="AC50" i="11"/>
  <c r="U49" i="11"/>
  <c r="Y49" i="11"/>
  <c r="AC49" i="11"/>
  <c r="E50" i="11"/>
  <c r="I50" i="11"/>
  <c r="M50" i="11"/>
  <c r="Q50" i="11"/>
  <c r="I49" i="11"/>
  <c r="M49" i="11"/>
  <c r="Q49" i="11"/>
  <c r="E49" i="11"/>
  <c r="AA50" i="11"/>
  <c r="AA49" i="11"/>
  <c r="G50" i="11"/>
  <c r="O50" i="11"/>
  <c r="K49" i="11"/>
  <c r="S49" i="11"/>
  <c r="V50" i="11"/>
  <c r="Z50" i="11"/>
  <c r="AD50" i="11"/>
  <c r="V49" i="11"/>
  <c r="Z49" i="11"/>
  <c r="AD49" i="11"/>
  <c r="F50" i="11"/>
  <c r="J50" i="11"/>
  <c r="R50" i="11"/>
  <c r="J49" i="11"/>
  <c r="N49" i="11"/>
  <c r="R49" i="11"/>
  <c r="F49" i="11"/>
  <c r="W50" i="11"/>
  <c r="W49" i="11"/>
  <c r="AE49" i="11"/>
  <c r="K50" i="11"/>
  <c r="S50" i="11"/>
  <c r="O49" i="11"/>
  <c r="G49" i="11"/>
  <c r="H50" i="11"/>
  <c r="L49" i="11"/>
  <c r="AB50" i="11"/>
  <c r="T50" i="11"/>
  <c r="X49" i="11"/>
  <c r="L50" i="11"/>
  <c r="P49" i="11"/>
  <c r="X50" i="11"/>
  <c r="AB49" i="11"/>
  <c r="H49" i="11"/>
  <c r="T49" i="11"/>
  <c r="D50" i="11"/>
  <c r="G10" i="11"/>
  <c r="F10" i="11"/>
  <c r="E10" i="11"/>
  <c r="D10" i="11"/>
  <c r="C10" i="11"/>
  <c r="AC38" i="11" l="1"/>
  <c r="N36" i="11"/>
  <c r="U36" i="11"/>
  <c r="AG36" i="11" s="1"/>
  <c r="Y36" i="11"/>
  <c r="AK36" i="11" s="1"/>
  <c r="AC36" i="11"/>
  <c r="AO36" i="11" s="1"/>
  <c r="I36" i="11"/>
  <c r="M36" i="11"/>
  <c r="Q36" i="11"/>
  <c r="E36" i="11"/>
  <c r="U35" i="11"/>
  <c r="AG35" i="11" s="1"/>
  <c r="Y35" i="11"/>
  <c r="AK35" i="11" s="1"/>
  <c r="AC35" i="11"/>
  <c r="AO35" i="11" s="1"/>
  <c r="I35" i="11"/>
  <c r="M35" i="11"/>
  <c r="Q35" i="11"/>
  <c r="F35" i="11"/>
  <c r="W36" i="11"/>
  <c r="AI36" i="11" s="1"/>
  <c r="AE36" i="11"/>
  <c r="AQ36" i="11" s="1"/>
  <c r="K36" i="11"/>
  <c r="S36" i="11"/>
  <c r="W35" i="11"/>
  <c r="AI35" i="11" s="1"/>
  <c r="AE35" i="11"/>
  <c r="AQ35" i="11" s="1"/>
  <c r="K35" i="11"/>
  <c r="S35" i="11"/>
  <c r="V36" i="11"/>
  <c r="AH36" i="11" s="1"/>
  <c r="Z36" i="11"/>
  <c r="AL36" i="11" s="1"/>
  <c r="AD36" i="11"/>
  <c r="AP36" i="11" s="1"/>
  <c r="J36" i="11"/>
  <c r="R36" i="11"/>
  <c r="F36" i="11"/>
  <c r="V35" i="11"/>
  <c r="AH35" i="11" s="1"/>
  <c r="Z35" i="11"/>
  <c r="AL35" i="11" s="1"/>
  <c r="AD35" i="11"/>
  <c r="AP35" i="11" s="1"/>
  <c r="J35" i="11"/>
  <c r="N35" i="11"/>
  <c r="R35" i="11"/>
  <c r="G35" i="11"/>
  <c r="AA36" i="11"/>
  <c r="AM36" i="11" s="1"/>
  <c r="O36" i="11"/>
  <c r="G36" i="11"/>
  <c r="AA35" i="11"/>
  <c r="AM35" i="11" s="1"/>
  <c r="O35" i="11"/>
  <c r="E35" i="11"/>
  <c r="L36" i="11"/>
  <c r="X36" i="11"/>
  <c r="AJ36" i="11" s="1"/>
  <c r="H35" i="11"/>
  <c r="AB36" i="11"/>
  <c r="AN36" i="11" s="1"/>
  <c r="H36" i="11"/>
  <c r="T35" i="11"/>
  <c r="AF35" i="11" s="1"/>
  <c r="D35" i="11"/>
  <c r="T36" i="11"/>
  <c r="AF36" i="11" s="1"/>
  <c r="D36" i="11"/>
  <c r="L35" i="11"/>
  <c r="X35" i="11"/>
  <c r="AJ35" i="11" s="1"/>
  <c r="P35" i="11"/>
  <c r="P36" i="11"/>
  <c r="AB35" i="11"/>
  <c r="AN35" i="11" s="1"/>
  <c r="V38" i="11"/>
  <c r="Z38" i="11"/>
  <c r="AD38" i="11"/>
  <c r="J38" i="11"/>
  <c r="J45" i="11" s="1"/>
  <c r="N38" i="11"/>
  <c r="N45" i="11" s="1"/>
  <c r="R38" i="11"/>
  <c r="R45" i="11" s="1"/>
  <c r="F38" i="11"/>
  <c r="F45" i="11" s="1"/>
  <c r="V37" i="11"/>
  <c r="AH37" i="11" s="1"/>
  <c r="Z37" i="11"/>
  <c r="AL37" i="11" s="1"/>
  <c r="AD37" i="11"/>
  <c r="AP37" i="11" s="1"/>
  <c r="J37" i="11"/>
  <c r="N37" i="11"/>
  <c r="R37" i="11"/>
  <c r="E37" i="11"/>
  <c r="W38" i="11"/>
  <c r="AA38" i="11"/>
  <c r="AE38" i="11"/>
  <c r="AQ38" i="11" s="1"/>
  <c r="K38" i="11"/>
  <c r="K45" i="11" s="1"/>
  <c r="O38" i="11"/>
  <c r="O45" i="11" s="1"/>
  <c r="S38" i="11"/>
  <c r="S45" i="11" s="1"/>
  <c r="G38" i="11"/>
  <c r="G45" i="11" s="1"/>
  <c r="W37" i="11"/>
  <c r="AI37" i="11" s="1"/>
  <c r="AA37" i="11"/>
  <c r="AM37" i="11" s="1"/>
  <c r="AE37" i="11"/>
  <c r="AQ37" i="11" s="1"/>
  <c r="K37" i="11"/>
  <c r="O37" i="11"/>
  <c r="S37" i="11"/>
  <c r="F37" i="11"/>
  <c r="X38" i="11"/>
  <c r="AB38" i="11"/>
  <c r="T38" i="11"/>
  <c r="L38" i="11"/>
  <c r="L45" i="11" s="1"/>
  <c r="P38" i="11"/>
  <c r="P45" i="11" s="1"/>
  <c r="H38" i="11"/>
  <c r="H45" i="11" s="1"/>
  <c r="D38" i="11"/>
  <c r="D45" i="11" s="1"/>
  <c r="X37" i="11"/>
  <c r="AJ37" i="11" s="1"/>
  <c r="AB37" i="11"/>
  <c r="AN37" i="11" s="1"/>
  <c r="T37" i="11"/>
  <c r="AF37" i="11" s="1"/>
  <c r="L37" i="11"/>
  <c r="P37" i="11"/>
  <c r="H37" i="11"/>
  <c r="G37" i="11"/>
  <c r="U38" i="11"/>
  <c r="Y38" i="11"/>
  <c r="I38" i="11"/>
  <c r="I45" i="11" s="1"/>
  <c r="M38" i="11"/>
  <c r="M45" i="11" s="1"/>
  <c r="Q38" i="11"/>
  <c r="Q45" i="11" s="1"/>
  <c r="E38" i="11"/>
  <c r="E45" i="11" s="1"/>
  <c r="U37" i="11"/>
  <c r="AG37" i="11" s="1"/>
  <c r="Y37" i="11"/>
  <c r="AK37" i="11" s="1"/>
  <c r="AC37" i="11"/>
  <c r="AO37" i="11" s="1"/>
  <c r="I37" i="11"/>
  <c r="M37" i="11"/>
  <c r="Q37" i="11"/>
  <c r="D37" i="11"/>
  <c r="Y45" i="11" l="1"/>
  <c r="AK38" i="11"/>
  <c r="AK45" i="11" s="1"/>
  <c r="AA45" i="11"/>
  <c r="AM38" i="11"/>
  <c r="AM45" i="11" s="1"/>
  <c r="U45" i="11"/>
  <c r="AG38" i="11"/>
  <c r="AG45" i="11" s="1"/>
  <c r="T45" i="11"/>
  <c r="AF38" i="11"/>
  <c r="AF45" i="11" s="1"/>
  <c r="W45" i="11"/>
  <c r="AI38" i="11"/>
  <c r="AI45" i="11" s="1"/>
  <c r="AD45" i="11"/>
  <c r="AP38" i="11"/>
  <c r="AP45" i="11" s="1"/>
  <c r="AB45" i="11"/>
  <c r="AN38" i="11"/>
  <c r="AN45" i="11" s="1"/>
  <c r="Z45" i="11"/>
  <c r="AL38" i="11"/>
  <c r="AL45" i="11" s="1"/>
  <c r="AC45" i="11"/>
  <c r="AO38" i="11"/>
  <c r="AO45" i="11" s="1"/>
  <c r="X45" i="11"/>
  <c r="AJ38" i="11"/>
  <c r="AJ45" i="11" s="1"/>
  <c r="AE45" i="11"/>
  <c r="AQ45" i="11"/>
  <c r="V45" i="11"/>
  <c r="AH38" i="11"/>
  <c r="AH45" i="11" s="1"/>
  <c r="E41" i="9" l="1"/>
  <c r="O9" i="13" l="1"/>
  <c r="E14" i="13" s="1"/>
  <c r="E19" i="13" s="1"/>
  <c r="E24" i="13" s="1"/>
  <c r="O9" i="16"/>
  <c r="K14" i="16" s="1"/>
  <c r="K19" i="16" s="1"/>
  <c r="K24" i="16" s="1"/>
  <c r="L14" i="13" l="1"/>
  <c r="L19" i="13" s="1"/>
  <c r="L24" i="13" s="1"/>
  <c r="L30" i="13" s="1"/>
  <c r="D14" i="13"/>
  <c r="D19" i="13" s="1"/>
  <c r="D30" i="13" s="1"/>
  <c r="I19" i="13"/>
  <c r="I24" i="13" s="1"/>
  <c r="I31" i="13" s="1"/>
  <c r="C14" i="13"/>
  <c r="C19" i="13" s="1"/>
  <c r="C24" i="13" s="1"/>
  <c r="J14" i="13"/>
  <c r="J19" i="13" s="1"/>
  <c r="J24" i="13" s="1"/>
  <c r="J30" i="13" s="1"/>
  <c r="F14" i="13"/>
  <c r="F19" i="13" s="1"/>
  <c r="F24" i="13" s="1"/>
  <c r="F30" i="13" s="1"/>
  <c r="G14" i="13"/>
  <c r="G19" i="13" s="1"/>
  <c r="G24" i="13" s="1"/>
  <c r="G31" i="13" s="1"/>
  <c r="F14" i="16"/>
  <c r="F19" i="16" s="1"/>
  <c r="F24" i="16" s="1"/>
  <c r="F30" i="16" s="1"/>
  <c r="E14" i="16"/>
  <c r="E19" i="16" s="1"/>
  <c r="E24" i="16" s="1"/>
  <c r="E31" i="16" s="1"/>
  <c r="H14" i="16"/>
  <c r="H19" i="16" s="1"/>
  <c r="H24" i="16" s="1"/>
  <c r="H30" i="16" s="1"/>
  <c r="L14" i="16"/>
  <c r="L19" i="16" s="1"/>
  <c r="L24" i="16" s="1"/>
  <c r="L31" i="16" s="1"/>
  <c r="N14" i="16"/>
  <c r="N19" i="16" s="1"/>
  <c r="N24" i="16" s="1"/>
  <c r="N30" i="16" s="1"/>
  <c r="D14" i="16"/>
  <c r="D19" i="16" s="1"/>
  <c r="D24" i="16" s="1"/>
  <c r="D31" i="16" s="1"/>
  <c r="M14" i="16"/>
  <c r="M19" i="16" s="1"/>
  <c r="M24" i="16" s="1"/>
  <c r="M31" i="16" s="1"/>
  <c r="G14" i="16"/>
  <c r="G19" i="16" s="1"/>
  <c r="G24" i="16" s="1"/>
  <c r="G31" i="16" s="1"/>
  <c r="J14" i="16"/>
  <c r="J19" i="16" s="1"/>
  <c r="J24" i="16" s="1"/>
  <c r="J31" i="16" s="1"/>
  <c r="I14" i="16"/>
  <c r="I19" i="16" s="1"/>
  <c r="I24" i="16" s="1"/>
  <c r="I31" i="16" s="1"/>
  <c r="C14" i="16"/>
  <c r="C19" i="16" s="1"/>
  <c r="C24" i="16" s="1"/>
  <c r="E30" i="13"/>
  <c r="E31" i="13"/>
  <c r="N14" i="13"/>
  <c r="N19" i="13" s="1"/>
  <c r="N24" i="13" s="1"/>
  <c r="M14" i="13"/>
  <c r="M19" i="13" s="1"/>
  <c r="M24" i="13" s="1"/>
  <c r="H14" i="13"/>
  <c r="H19" i="13" s="1"/>
  <c r="H24" i="13" s="1"/>
  <c r="K31" i="16"/>
  <c r="K30" i="16"/>
  <c r="K14" i="13"/>
  <c r="K19" i="13" s="1"/>
  <c r="K24" i="13" s="1"/>
  <c r="C31" i="13" l="1"/>
  <c r="C30" i="13"/>
  <c r="L31" i="13"/>
  <c r="F83" i="9"/>
  <c r="I30" i="13"/>
  <c r="F31" i="13"/>
  <c r="D31" i="13"/>
  <c r="E30" i="16"/>
  <c r="J31" i="13"/>
  <c r="J30" i="16"/>
  <c r="N31" i="16"/>
  <c r="F31" i="16"/>
  <c r="G30" i="13"/>
  <c r="G30" i="16"/>
  <c r="L30" i="16"/>
  <c r="H31" i="16"/>
  <c r="I30" i="16"/>
  <c r="M30" i="16"/>
  <c r="D30" i="16"/>
  <c r="O14" i="16"/>
  <c r="K31" i="13"/>
  <c r="K30" i="13"/>
  <c r="N30" i="13"/>
  <c r="N31" i="13"/>
  <c r="O14" i="13"/>
  <c r="H31" i="13"/>
  <c r="H30" i="13"/>
  <c r="M31" i="13"/>
  <c r="M30" i="13"/>
  <c r="C31" i="16"/>
  <c r="C30" i="16"/>
  <c r="G83" i="9" l="1"/>
  <c r="O31" i="16"/>
  <c r="C43" i="16" s="1"/>
  <c r="J40" i="16" s="1"/>
  <c r="J54" i="16" s="1"/>
  <c r="AA29" i="11" s="1"/>
  <c r="O30" i="16"/>
  <c r="C42" i="16" s="1"/>
  <c r="C39" i="16" s="1"/>
  <c r="O30" i="13"/>
  <c r="N39" i="13" s="1"/>
  <c r="N53" i="13" s="1"/>
  <c r="S24" i="11" s="1"/>
  <c r="O31" i="13"/>
  <c r="G40" i="16" l="1"/>
  <c r="G54" i="16" s="1"/>
  <c r="X29" i="11" s="1"/>
  <c r="L39" i="13"/>
  <c r="F40" i="16"/>
  <c r="F54" i="16" s="1"/>
  <c r="W29" i="11" s="1"/>
  <c r="I39" i="13"/>
  <c r="I53" i="13" s="1"/>
  <c r="N24" i="11" s="1"/>
  <c r="K40" i="16"/>
  <c r="K54" i="16" s="1"/>
  <c r="AB29" i="11" s="1"/>
  <c r="E40" i="16"/>
  <c r="E54" i="16" s="1"/>
  <c r="V29" i="11" s="1"/>
  <c r="D40" i="16"/>
  <c r="D54" i="16" s="1"/>
  <c r="U29" i="11" s="1"/>
  <c r="L40" i="16"/>
  <c r="L54" i="16" s="1"/>
  <c r="AC29" i="11" s="1"/>
  <c r="C40" i="16"/>
  <c r="C54" i="16" s="1"/>
  <c r="T29" i="11" s="1"/>
  <c r="K39" i="13"/>
  <c r="K53" i="13" s="1"/>
  <c r="P24" i="11" s="1"/>
  <c r="I40" i="16"/>
  <c r="I54" i="16" s="1"/>
  <c r="Z29" i="11" s="1"/>
  <c r="N40" i="16"/>
  <c r="N54" i="16" s="1"/>
  <c r="AE29" i="11" s="1"/>
  <c r="M40" i="16"/>
  <c r="M54" i="16" s="1"/>
  <c r="AD29" i="11" s="1"/>
  <c r="H40" i="16"/>
  <c r="H54" i="16" s="1"/>
  <c r="Y29" i="11" s="1"/>
  <c r="J39" i="16"/>
  <c r="J53" i="16" s="1"/>
  <c r="O29" i="11" s="1"/>
  <c r="E39" i="16"/>
  <c r="E53" i="16" s="1"/>
  <c r="J29" i="11" s="1"/>
  <c r="G39" i="16"/>
  <c r="G53" i="16" s="1"/>
  <c r="L29" i="11" s="1"/>
  <c r="I39" i="16"/>
  <c r="I53" i="16" s="1"/>
  <c r="N29" i="11" s="1"/>
  <c r="N39" i="16"/>
  <c r="N53" i="16" s="1"/>
  <c r="S29" i="11" s="1"/>
  <c r="H39" i="13"/>
  <c r="H53" i="13" s="1"/>
  <c r="M24" i="11" s="1"/>
  <c r="M39" i="13"/>
  <c r="M53" i="13" s="1"/>
  <c r="R24" i="11" s="1"/>
  <c r="D39" i="13"/>
  <c r="D53" i="13" s="1"/>
  <c r="I24" i="11" s="1"/>
  <c r="K39" i="16"/>
  <c r="K53" i="16" s="1"/>
  <c r="P29" i="11" s="1"/>
  <c r="H39" i="16"/>
  <c r="H53" i="16" s="1"/>
  <c r="M29" i="11" s="1"/>
  <c r="G39" i="13"/>
  <c r="G53" i="13" s="1"/>
  <c r="L24" i="11" s="1"/>
  <c r="L39" i="16"/>
  <c r="L53" i="16" s="1"/>
  <c r="Q29" i="11" s="1"/>
  <c r="D39" i="16"/>
  <c r="D53" i="16" s="1"/>
  <c r="I29" i="11" s="1"/>
  <c r="M39" i="16"/>
  <c r="M53" i="16" s="1"/>
  <c r="R29" i="11" s="1"/>
  <c r="F39" i="16"/>
  <c r="F53" i="16" s="1"/>
  <c r="K29" i="11" s="1"/>
  <c r="F39" i="13"/>
  <c r="F53" i="13" s="1"/>
  <c r="K24" i="11" s="1"/>
  <c r="C53" i="13"/>
  <c r="E39" i="13"/>
  <c r="E53" i="13" s="1"/>
  <c r="J24" i="11" s="1"/>
  <c r="J39" i="13"/>
  <c r="J53" i="13" s="1"/>
  <c r="O24" i="11" s="1"/>
  <c r="S52" i="11"/>
  <c r="AA51" i="11"/>
  <c r="AM51" i="11" s="1"/>
  <c r="H29" i="11"/>
  <c r="E40" i="13"/>
  <c r="E54" i="13" s="1"/>
  <c r="V24" i="11" s="1"/>
  <c r="F40" i="13"/>
  <c r="F54" i="13" s="1"/>
  <c r="W24" i="11" s="1"/>
  <c r="D40" i="13"/>
  <c r="D54" i="13" s="1"/>
  <c r="U24" i="11" s="1"/>
  <c r="I40" i="13"/>
  <c r="I54" i="13" s="1"/>
  <c r="Z24" i="11" s="1"/>
  <c r="J40" i="13"/>
  <c r="J54" i="13" s="1"/>
  <c r="AA24" i="11" s="1"/>
  <c r="G40" i="13"/>
  <c r="G54" i="13" s="1"/>
  <c r="X24" i="11" s="1"/>
  <c r="L40" i="13"/>
  <c r="L54" i="13" s="1"/>
  <c r="AC24" i="11" s="1"/>
  <c r="H40" i="13"/>
  <c r="H54" i="13" s="1"/>
  <c r="Y24" i="11" s="1"/>
  <c r="K40" i="13"/>
  <c r="K54" i="13" s="1"/>
  <c r="AB24" i="11" s="1"/>
  <c r="N40" i="13"/>
  <c r="N54" i="13" s="1"/>
  <c r="AE24" i="11" s="1"/>
  <c r="C40" i="13"/>
  <c r="C54" i="13" s="1"/>
  <c r="M40" i="13"/>
  <c r="M54" i="13" s="1"/>
  <c r="AD24" i="11" s="1"/>
  <c r="I51" i="11" l="1"/>
  <c r="F48" i="13"/>
  <c r="F56" i="13" s="1"/>
  <c r="G24" i="11" s="1"/>
  <c r="L53" i="13"/>
  <c r="Q24" i="11" s="1"/>
  <c r="AB51" i="11"/>
  <c r="AN51" i="11" s="1"/>
  <c r="AD51" i="11"/>
  <c r="AP51" i="11" s="1"/>
  <c r="X51" i="11"/>
  <c r="AJ51" i="11" s="1"/>
  <c r="Z51" i="11"/>
  <c r="AL51" i="11" s="1"/>
  <c r="Y51" i="11"/>
  <c r="AK51" i="11" s="1"/>
  <c r="U51" i="11"/>
  <c r="AG51" i="11" s="1"/>
  <c r="AC51" i="11"/>
  <c r="AO51" i="11" s="1"/>
  <c r="AE51" i="11"/>
  <c r="AQ51" i="11" s="1"/>
  <c r="O51" i="11"/>
  <c r="W51" i="11"/>
  <c r="AI51" i="11" s="1"/>
  <c r="E48" i="16"/>
  <c r="E56" i="16" s="1"/>
  <c r="F29" i="11" s="1"/>
  <c r="I52" i="11"/>
  <c r="O54" i="16"/>
  <c r="C48" i="16"/>
  <c r="D29" i="11" s="1"/>
  <c r="V51" i="11"/>
  <c r="AH51" i="11" s="1"/>
  <c r="P52" i="11"/>
  <c r="R51" i="11"/>
  <c r="M51" i="11"/>
  <c r="J51" i="11"/>
  <c r="L51" i="11"/>
  <c r="S51" i="11"/>
  <c r="P51" i="11"/>
  <c r="D48" i="13"/>
  <c r="D56" i="13" s="1"/>
  <c r="E24" i="11" s="1"/>
  <c r="R52" i="11"/>
  <c r="M52" i="11"/>
  <c r="F48" i="16"/>
  <c r="F56" i="16" s="1"/>
  <c r="G29" i="11" s="1"/>
  <c r="L52" i="11"/>
  <c r="D48" i="16"/>
  <c r="D56" i="16" s="1"/>
  <c r="E29" i="11" s="1"/>
  <c r="E48" i="13"/>
  <c r="E56" i="13" s="1"/>
  <c r="F24" i="11" s="1"/>
  <c r="C48" i="13"/>
  <c r="C56" i="13" s="1"/>
  <c r="D24" i="11" s="1"/>
  <c r="O52" i="11"/>
  <c r="J52" i="11"/>
  <c r="T51" i="11"/>
  <c r="AF51" i="11" s="1"/>
  <c r="K52" i="11"/>
  <c r="V52" i="11"/>
  <c r="AH52" i="11" s="1"/>
  <c r="AE52" i="11"/>
  <c r="AQ52" i="11" s="1"/>
  <c r="X52" i="11"/>
  <c r="AJ52" i="11" s="1"/>
  <c r="W52" i="11"/>
  <c r="AI52" i="11" s="1"/>
  <c r="AB52" i="11"/>
  <c r="AN52" i="11" s="1"/>
  <c r="AD52" i="11"/>
  <c r="AP52" i="11" s="1"/>
  <c r="Y52" i="11"/>
  <c r="AK52" i="11" s="1"/>
  <c r="Z52" i="11"/>
  <c r="AL52" i="11" s="1"/>
  <c r="N51" i="11"/>
  <c r="O53" i="16"/>
  <c r="Q51" i="11"/>
  <c r="N52" i="11"/>
  <c r="AA52" i="11"/>
  <c r="AM52" i="11" s="1"/>
  <c r="K51" i="11"/>
  <c r="H24" i="11"/>
  <c r="T24" i="11"/>
  <c r="O54" i="13"/>
  <c r="AC52" i="11"/>
  <c r="AO52" i="11" s="1"/>
  <c r="U52" i="11"/>
  <c r="AG52" i="11" s="1"/>
  <c r="H51" i="11"/>
  <c r="E56" i="9"/>
  <c r="F52" i="9"/>
  <c r="E52" i="9"/>
  <c r="O53" i="13" l="1"/>
  <c r="G52" i="11"/>
  <c r="Q52" i="11"/>
  <c r="F51" i="11"/>
  <c r="G51" i="11"/>
  <c r="E52" i="11"/>
  <c r="G56" i="13"/>
  <c r="E51" i="11"/>
  <c r="G56" i="16"/>
  <c r="F52" i="11"/>
  <c r="D51" i="11"/>
  <c r="H52" i="11"/>
  <c r="T52" i="11"/>
  <c r="AF52" i="11" s="1"/>
  <c r="D52" i="11"/>
  <c r="E99" i="9"/>
  <c r="E98" i="9" s="1"/>
  <c r="C42" i="11" l="1"/>
  <c r="E96" i="9"/>
  <c r="C39" i="11" l="1"/>
  <c r="AG39" i="11" s="1"/>
  <c r="C41" i="11"/>
  <c r="AN41" i="11" s="1"/>
  <c r="AP42" i="11"/>
  <c r="AL42" i="11"/>
  <c r="AH42" i="11"/>
  <c r="AO42" i="11"/>
  <c r="AK42" i="11"/>
  <c r="AG42" i="11"/>
  <c r="AJ42" i="11"/>
  <c r="AQ42" i="11"/>
  <c r="AI42" i="11"/>
  <c r="AM42" i="11"/>
  <c r="AF42" i="11"/>
  <c r="AN42" i="11"/>
  <c r="F42" i="11"/>
  <c r="F56" i="9"/>
  <c r="P42" i="11"/>
  <c r="M42" i="11"/>
  <c r="N42" i="11"/>
  <c r="O42" i="11"/>
  <c r="X42" i="11"/>
  <c r="AE42" i="11"/>
  <c r="AD42" i="11"/>
  <c r="Y42" i="11"/>
  <c r="D42" i="11"/>
  <c r="Q42" i="11"/>
  <c r="R42" i="11"/>
  <c r="S42" i="11"/>
  <c r="AB42" i="11"/>
  <c r="AC42" i="11"/>
  <c r="H42" i="11"/>
  <c r="E42" i="11"/>
  <c r="G42" i="11"/>
  <c r="T42" i="11"/>
  <c r="W42" i="11"/>
  <c r="V42" i="11"/>
  <c r="L42" i="11"/>
  <c r="K42" i="11"/>
  <c r="U42" i="11"/>
  <c r="Z42" i="11"/>
  <c r="I42" i="11"/>
  <c r="J42" i="11"/>
  <c r="AA42" i="11"/>
  <c r="E101" i="9"/>
  <c r="F121" i="9" l="1"/>
  <c r="F109" i="9" s="1"/>
  <c r="E39" i="11"/>
  <c r="O39" i="11"/>
  <c r="E109" i="9"/>
  <c r="E37" i="9"/>
  <c r="U39" i="11"/>
  <c r="N39" i="11"/>
  <c r="AL39" i="11"/>
  <c r="AC39" i="11"/>
  <c r="AA39" i="11"/>
  <c r="R39" i="11"/>
  <c r="AH39" i="11"/>
  <c r="AE39" i="11"/>
  <c r="X39" i="11"/>
  <c r="M39" i="11"/>
  <c r="AP39" i="11"/>
  <c r="AK39" i="11"/>
  <c r="G39" i="11"/>
  <c r="P39" i="11"/>
  <c r="K39" i="11"/>
  <c r="T39" i="11"/>
  <c r="AM39" i="11"/>
  <c r="AN39" i="11"/>
  <c r="F39" i="11"/>
  <c r="AB39" i="11"/>
  <c r="Y39" i="11"/>
  <c r="Q39" i="11"/>
  <c r="Z39" i="11"/>
  <c r="H39" i="11"/>
  <c r="I39" i="11"/>
  <c r="AQ39" i="11"/>
  <c r="AI39" i="11"/>
  <c r="AJ39" i="11"/>
  <c r="D39" i="11"/>
  <c r="J39" i="11"/>
  <c r="AD39" i="11"/>
  <c r="L39" i="11"/>
  <c r="W39" i="11"/>
  <c r="V39" i="11"/>
  <c r="S39" i="11"/>
  <c r="AF39" i="11"/>
  <c r="AO39" i="11"/>
  <c r="AB41" i="11"/>
  <c r="X41" i="11"/>
  <c r="V41" i="11"/>
  <c r="S41" i="11"/>
  <c r="W41" i="11"/>
  <c r="O41" i="11"/>
  <c r="H41" i="11"/>
  <c r="N41" i="11"/>
  <c r="AJ41" i="11"/>
  <c r="J41" i="11"/>
  <c r="G41" i="11"/>
  <c r="D41" i="11"/>
  <c r="AQ41" i="11"/>
  <c r="AG41" i="11"/>
  <c r="AI41" i="11"/>
  <c r="T41" i="11"/>
  <c r="Y41" i="11"/>
  <c r="U41" i="11"/>
  <c r="AP41" i="11"/>
  <c r="AM41" i="11"/>
  <c r="I41" i="11"/>
  <c r="K41" i="11"/>
  <c r="F41" i="11"/>
  <c r="AD41" i="11"/>
  <c r="R41" i="11"/>
  <c r="Z41" i="11"/>
  <c r="M41" i="11"/>
  <c r="AL41" i="11"/>
  <c r="AH41" i="11"/>
  <c r="AF41" i="11"/>
  <c r="L41" i="11"/>
  <c r="AC41" i="11"/>
  <c r="E41" i="11"/>
  <c r="AE41" i="11"/>
  <c r="Q41" i="11"/>
  <c r="AA41" i="11"/>
  <c r="P41" i="11"/>
  <c r="AO41" i="11"/>
  <c r="AK41" i="11"/>
  <c r="C44" i="11"/>
  <c r="F108" i="9" l="1"/>
  <c r="AP44" i="11"/>
  <c r="AL44" i="11"/>
  <c r="AH44" i="11"/>
  <c r="AO44" i="11"/>
  <c r="AK44" i="11"/>
  <c r="AG44" i="11"/>
  <c r="AN44" i="11"/>
  <c r="AJ44" i="11"/>
  <c r="AF44" i="11"/>
  <c r="AQ44" i="11"/>
  <c r="AM44" i="11"/>
  <c r="AI44" i="11"/>
  <c r="M44" i="11"/>
  <c r="AC44" i="11"/>
  <c r="R44" i="11"/>
  <c r="G44" i="11"/>
  <c r="W44" i="11"/>
  <c r="L44" i="11"/>
  <c r="AB44" i="11"/>
  <c r="Q44" i="11"/>
  <c r="F44" i="11"/>
  <c r="V44" i="11"/>
  <c r="K44" i="11"/>
  <c r="AA44" i="11"/>
  <c r="P44" i="11"/>
  <c r="D44" i="11"/>
  <c r="E44" i="11"/>
  <c r="U44" i="11"/>
  <c r="J44" i="11"/>
  <c r="Z44" i="11"/>
  <c r="O44" i="11"/>
  <c r="AE44" i="11"/>
  <c r="T44" i="11"/>
  <c r="AD44" i="11"/>
  <c r="I44" i="11"/>
  <c r="S44" i="11"/>
  <c r="Y44" i="11"/>
  <c r="H44" i="11"/>
  <c r="N44" i="11"/>
  <c r="X44" i="11"/>
  <c r="F48" i="9" l="1"/>
  <c r="F47" i="9"/>
  <c r="F44" i="9" s="1"/>
  <c r="G108" i="9"/>
  <c r="H109" i="9"/>
  <c r="G109" i="9"/>
  <c r="F45" i="9" l="1"/>
  <c r="F99" i="9" l="1"/>
  <c r="F96" i="9"/>
  <c r="F98" i="9" s="1"/>
  <c r="E39" i="9"/>
  <c r="E115" i="9"/>
  <c r="E116" i="9" l="1"/>
  <c r="E36" i="9"/>
  <c r="E100" i="9" l="1"/>
  <c r="E40" i="9"/>
  <c r="E42" i="9" s="1"/>
  <c r="C43" i="11" l="1"/>
  <c r="I43" i="11" l="1"/>
  <c r="F43" i="11"/>
  <c r="AC43" i="11"/>
  <c r="Y43" i="11"/>
  <c r="P43" i="11"/>
  <c r="O43" i="11"/>
  <c r="AB43" i="11"/>
  <c r="E43" i="11"/>
  <c r="AD43" i="11"/>
  <c r="X43" i="11"/>
  <c r="AG43" i="11"/>
  <c r="AE43" i="11"/>
  <c r="AA43" i="11"/>
  <c r="AQ43" i="11"/>
  <c r="AJ43" i="11"/>
  <c r="AO43" i="11"/>
  <c r="S43" i="11"/>
  <c r="AP43" i="11"/>
  <c r="AM43" i="11"/>
  <c r="AI43" i="11"/>
  <c r="L43" i="11"/>
  <c r="W43" i="11"/>
  <c r="AK43" i="11"/>
  <c r="AF43" i="11"/>
  <c r="M43" i="11"/>
  <c r="N43" i="11"/>
  <c r="U43" i="11"/>
  <c r="D43" i="11"/>
  <c r="AH43" i="11"/>
  <c r="T43" i="11"/>
  <c r="V43" i="11"/>
  <c r="K43" i="11"/>
  <c r="AN43" i="11"/>
  <c r="J43" i="11"/>
  <c r="H43" i="11"/>
  <c r="AL43" i="11"/>
  <c r="G43" i="11"/>
  <c r="Q43" i="11"/>
  <c r="Z43" i="11"/>
  <c r="R43" i="11"/>
  <c r="G78" i="9" l="1"/>
  <c r="G76" i="9"/>
  <c r="F75" i="9"/>
  <c r="G75" i="9" s="1"/>
  <c r="C53" i="11" l="1"/>
  <c r="D53" i="11" s="1"/>
  <c r="H99" i="9"/>
  <c r="C56" i="11"/>
  <c r="C67" i="11" s="1"/>
  <c r="F61" i="9"/>
  <c r="G99" i="9"/>
  <c r="H96" i="9"/>
  <c r="F100" i="9"/>
  <c r="F26" i="9" s="1"/>
  <c r="G96" i="9"/>
  <c r="F62" i="9" l="1"/>
  <c r="F101" i="9" s="1"/>
  <c r="F97" i="9"/>
  <c r="C55" i="11"/>
  <c r="E55" i="11" s="1"/>
  <c r="E66" i="11" s="1"/>
  <c r="C57" i="11"/>
  <c r="C68" i="11" s="1"/>
  <c r="AE56" i="11"/>
  <c r="AE67" i="11" s="1"/>
  <c r="L56" i="11"/>
  <c r="L67" i="11" s="1"/>
  <c r="AB56" i="11"/>
  <c r="AB67" i="11" s="1"/>
  <c r="AN56" i="11"/>
  <c r="AN67" i="11" s="1"/>
  <c r="Q56" i="11"/>
  <c r="Q67" i="11" s="1"/>
  <c r="P56" i="11"/>
  <c r="P67" i="11" s="1"/>
  <c r="AI56" i="11"/>
  <c r="AI67" i="11" s="1"/>
  <c r="M56" i="11"/>
  <c r="M67" i="11" s="1"/>
  <c r="AF56" i="11"/>
  <c r="AF67" i="11" s="1"/>
  <c r="E56" i="11"/>
  <c r="AG56" i="11"/>
  <c r="AG67" i="11" s="1"/>
  <c r="J56" i="11"/>
  <c r="J67" i="11" s="1"/>
  <c r="U56" i="11"/>
  <c r="U67" i="11" s="1"/>
  <c r="Z56" i="11"/>
  <c r="Z67" i="11" s="1"/>
  <c r="AD56" i="11"/>
  <c r="AD67" i="11" s="1"/>
  <c r="R56" i="11"/>
  <c r="R67" i="11" s="1"/>
  <c r="V56" i="11"/>
  <c r="V67" i="11" s="1"/>
  <c r="AM56" i="11"/>
  <c r="AM67" i="11" s="1"/>
  <c r="H56" i="11"/>
  <c r="H67" i="11" s="1"/>
  <c r="N56" i="11"/>
  <c r="N67" i="11" s="1"/>
  <c r="O56" i="11"/>
  <c r="O67" i="11" s="1"/>
  <c r="I56" i="11"/>
  <c r="I67" i="11" s="1"/>
  <c r="AC56" i="11"/>
  <c r="AC67" i="11" s="1"/>
  <c r="D56" i="11"/>
  <c r="D67" i="11" s="1"/>
  <c r="AJ56" i="11"/>
  <c r="AJ67" i="11" s="1"/>
  <c r="AH56" i="11"/>
  <c r="AH67" i="11" s="1"/>
  <c r="Y56" i="11"/>
  <c r="Y67" i="11" s="1"/>
  <c r="AQ56" i="11"/>
  <c r="AQ67" i="11" s="1"/>
  <c r="S56" i="11"/>
  <c r="S67" i="11" s="1"/>
  <c r="AP56" i="11"/>
  <c r="AP67" i="11" s="1"/>
  <c r="T56" i="11"/>
  <c r="T67" i="11" s="1"/>
  <c r="AL56" i="11"/>
  <c r="AL67" i="11" s="1"/>
  <c r="G56" i="11"/>
  <c r="G67" i="11" s="1"/>
  <c r="F56" i="11"/>
  <c r="W56" i="11"/>
  <c r="W67" i="11" s="1"/>
  <c r="AK56" i="11"/>
  <c r="AK67" i="11" s="1"/>
  <c r="AA56" i="11"/>
  <c r="AA67" i="11" s="1"/>
  <c r="AO56" i="11"/>
  <c r="AO67" i="11" s="1"/>
  <c r="X56" i="11"/>
  <c r="X67" i="11" s="1"/>
  <c r="K56" i="11"/>
  <c r="K67" i="11" s="1"/>
  <c r="G98" i="9"/>
  <c r="H98" i="9"/>
  <c r="H100" i="9"/>
  <c r="T53" i="11"/>
  <c r="T64" i="11" s="1"/>
  <c r="C64" i="11"/>
  <c r="AP53" i="11"/>
  <c r="AP64" i="11" s="1"/>
  <c r="AM53" i="11"/>
  <c r="AM64" i="11" s="1"/>
  <c r="AG53" i="11"/>
  <c r="AG64" i="11" s="1"/>
  <c r="AK53" i="11"/>
  <c r="AK64" i="11" s="1"/>
  <c r="AC53" i="11"/>
  <c r="AC64" i="11" s="1"/>
  <c r="AF53" i="11"/>
  <c r="AF64" i="11" s="1"/>
  <c r="AE53" i="11"/>
  <c r="AE64" i="11" s="1"/>
  <c r="X53" i="11"/>
  <c r="X64" i="11" s="1"/>
  <c r="AQ53" i="11"/>
  <c r="AQ64" i="11" s="1"/>
  <c r="AN53" i="11"/>
  <c r="AN64" i="11" s="1"/>
  <c r="M53" i="11"/>
  <c r="M64" i="11" s="1"/>
  <c r="K53" i="11"/>
  <c r="K64" i="11" s="1"/>
  <c r="AL53" i="11"/>
  <c r="AL64" i="11" s="1"/>
  <c r="V53" i="11"/>
  <c r="V64" i="11" s="1"/>
  <c r="G53" i="11"/>
  <c r="I53" i="11"/>
  <c r="I64" i="11" s="1"/>
  <c r="N53" i="11"/>
  <c r="N64" i="11" s="1"/>
  <c r="L53" i="11"/>
  <c r="L64" i="11" s="1"/>
  <c r="AB53" i="11"/>
  <c r="AB64" i="11" s="1"/>
  <c r="R53" i="11"/>
  <c r="R64" i="11" s="1"/>
  <c r="AH53" i="11"/>
  <c r="AH64" i="11" s="1"/>
  <c r="AI53" i="11"/>
  <c r="AI64" i="11" s="1"/>
  <c r="F53" i="11"/>
  <c r="W53" i="11"/>
  <c r="W64" i="11" s="1"/>
  <c r="AJ53" i="11"/>
  <c r="AJ64" i="11" s="1"/>
  <c r="E53" i="11"/>
  <c r="H53" i="11"/>
  <c r="H64" i="11" s="1"/>
  <c r="Y53" i="11"/>
  <c r="Y64" i="11" s="1"/>
  <c r="O53" i="11"/>
  <c r="O64" i="11" s="1"/>
  <c r="AD53" i="11"/>
  <c r="AD64" i="11" s="1"/>
  <c r="U53" i="11"/>
  <c r="U64" i="11" s="1"/>
  <c r="P53" i="11"/>
  <c r="P64" i="11" s="1"/>
  <c r="AA53" i="11"/>
  <c r="AA64" i="11" s="1"/>
  <c r="AO53" i="11"/>
  <c r="AO64" i="11" s="1"/>
  <c r="S53" i="11"/>
  <c r="S64" i="11" s="1"/>
  <c r="J53" i="11"/>
  <c r="J64" i="11" s="1"/>
  <c r="Z53" i="11"/>
  <c r="Z64" i="11" s="1"/>
  <c r="Q53" i="11"/>
  <c r="Q64" i="11" s="1"/>
  <c r="G100" i="9"/>
  <c r="F24" i="9" l="1"/>
  <c r="F23" i="9" s="1"/>
  <c r="F25" i="9"/>
  <c r="F31" i="9" s="1"/>
  <c r="F32" i="9" s="1"/>
  <c r="AG55" i="11"/>
  <c r="AG66" i="11" s="1"/>
  <c r="P55" i="11"/>
  <c r="P66" i="11" s="1"/>
  <c r="Z55" i="11"/>
  <c r="Z66" i="11" s="1"/>
  <c r="S55" i="11"/>
  <c r="S66" i="11" s="1"/>
  <c r="K55" i="11"/>
  <c r="K66" i="11" s="1"/>
  <c r="C66" i="11"/>
  <c r="O55" i="11"/>
  <c r="O66" i="11" s="1"/>
  <c r="U55" i="11"/>
  <c r="U66" i="11" s="1"/>
  <c r="N55" i="11"/>
  <c r="N66" i="11" s="1"/>
  <c r="AK55" i="11"/>
  <c r="AK66" i="11" s="1"/>
  <c r="AQ55" i="11"/>
  <c r="AQ66" i="11" s="1"/>
  <c r="AL55" i="11"/>
  <c r="AL66" i="11" s="1"/>
  <c r="AI55" i="11"/>
  <c r="AI66" i="11" s="1"/>
  <c r="AB55" i="11"/>
  <c r="AB66" i="11" s="1"/>
  <c r="D55" i="11"/>
  <c r="D66" i="11" s="1"/>
  <c r="H55" i="11"/>
  <c r="H66" i="11" s="1"/>
  <c r="AP55" i="11"/>
  <c r="AP66" i="11" s="1"/>
  <c r="AC55" i="11"/>
  <c r="AC66" i="11" s="1"/>
  <c r="R55" i="11"/>
  <c r="R66" i="11" s="1"/>
  <c r="AM55" i="11"/>
  <c r="AM66" i="11" s="1"/>
  <c r="AE55" i="11"/>
  <c r="AE66" i="11" s="1"/>
  <c r="F55" i="11"/>
  <c r="F66" i="11" s="1"/>
  <c r="J55" i="11"/>
  <c r="J66" i="11" s="1"/>
  <c r="T55" i="11"/>
  <c r="T66" i="11" s="1"/>
  <c r="AD55" i="11"/>
  <c r="AD66" i="11" s="1"/>
  <c r="M55" i="11"/>
  <c r="M66" i="11" s="1"/>
  <c r="Y55" i="11"/>
  <c r="Y66" i="11" s="1"/>
  <c r="V55" i="11"/>
  <c r="V66" i="11" s="1"/>
  <c r="AF55" i="11"/>
  <c r="AF66" i="11" s="1"/>
  <c r="Q55" i="11"/>
  <c r="Q66" i="11" s="1"/>
  <c r="W55" i="11"/>
  <c r="W66" i="11" s="1"/>
  <c r="AO55" i="11"/>
  <c r="AO66" i="11" s="1"/>
  <c r="L55" i="11"/>
  <c r="L66" i="11" s="1"/>
  <c r="AJ55" i="11"/>
  <c r="AJ66" i="11" s="1"/>
  <c r="G55" i="11"/>
  <c r="G66" i="11" s="1"/>
  <c r="AN55" i="11"/>
  <c r="AN66" i="11" s="1"/>
  <c r="AA55" i="11"/>
  <c r="AA66" i="11" s="1"/>
  <c r="I55" i="11"/>
  <c r="I66" i="11" s="1"/>
  <c r="AH55" i="11"/>
  <c r="AH66" i="11" s="1"/>
  <c r="X55" i="11"/>
  <c r="X66" i="11" s="1"/>
  <c r="C58" i="11"/>
  <c r="C69" i="11" s="1"/>
  <c r="C54" i="11"/>
  <c r="G101" i="9"/>
  <c r="H101" i="9"/>
  <c r="E67" i="11"/>
  <c r="F67" i="11"/>
  <c r="G97" i="9"/>
  <c r="H97" i="9"/>
  <c r="H57" i="11"/>
  <c r="H68" i="11" s="1"/>
  <c r="E57" i="11"/>
  <c r="E68" i="11" s="1"/>
  <c r="F64" i="11"/>
  <c r="G64" i="11"/>
  <c r="AN57" i="11"/>
  <c r="AN68" i="11" s="1"/>
  <c r="E64" i="11"/>
  <c r="D64" i="11"/>
  <c r="R57" i="11"/>
  <c r="R68" i="11" s="1"/>
  <c r="AH57" i="11"/>
  <c r="AH68" i="11" s="1"/>
  <c r="AO57" i="11"/>
  <c r="AO68" i="11" s="1"/>
  <c r="U57" i="11"/>
  <c r="U68" i="11" s="1"/>
  <c r="M57" i="11"/>
  <c r="M68" i="11" s="1"/>
  <c r="S57" i="11"/>
  <c r="S68" i="11" s="1"/>
  <c r="AQ57" i="11"/>
  <c r="AQ68" i="11" s="1"/>
  <c r="AF57" i="11"/>
  <c r="AF68" i="11" s="1"/>
  <c r="T57" i="11"/>
  <c r="T68" i="11" s="1"/>
  <c r="AD57" i="11"/>
  <c r="AD68" i="11" s="1"/>
  <c r="D57" i="11"/>
  <c r="Q57" i="11"/>
  <c r="Q68" i="11" s="1"/>
  <c r="AJ57" i="11"/>
  <c r="AJ68" i="11" s="1"/>
  <c r="AG57" i="11"/>
  <c r="AG68" i="11" s="1"/>
  <c r="I57" i="11"/>
  <c r="I68" i="11" s="1"/>
  <c r="AC57" i="11"/>
  <c r="AC68" i="11" s="1"/>
  <c r="N57" i="11"/>
  <c r="N68" i="11" s="1"/>
  <c r="K57" i="11"/>
  <c r="K68" i="11" s="1"/>
  <c r="V57" i="11"/>
  <c r="V68" i="11" s="1"/>
  <c r="AK57" i="11"/>
  <c r="AK68" i="11" s="1"/>
  <c r="G57" i="11"/>
  <c r="Y57" i="11"/>
  <c r="Y68" i="11" s="1"/>
  <c r="F57" i="11"/>
  <c r="O57" i="11"/>
  <c r="O68" i="11" s="1"/>
  <c r="W57" i="11"/>
  <c r="W68" i="11" s="1"/>
  <c r="AI57" i="11"/>
  <c r="AI68" i="11" s="1"/>
  <c r="AB57" i="11"/>
  <c r="AB68" i="11" s="1"/>
  <c r="AA57" i="11"/>
  <c r="AA68" i="11" s="1"/>
  <c r="Z57" i="11"/>
  <c r="Z68" i="11" s="1"/>
  <c r="AP57" i="11"/>
  <c r="AP68" i="11" s="1"/>
  <c r="L57" i="11"/>
  <c r="L68" i="11" s="1"/>
  <c r="AL57" i="11"/>
  <c r="AL68" i="11" s="1"/>
  <c r="J57" i="11"/>
  <c r="J68" i="11" s="1"/>
  <c r="P57" i="11"/>
  <c r="P68" i="11" s="1"/>
  <c r="X57" i="11"/>
  <c r="X68" i="11" s="1"/>
  <c r="AE57" i="11"/>
  <c r="AE68" i="11" s="1"/>
  <c r="AM57" i="11"/>
  <c r="AM68" i="11" s="1"/>
  <c r="F102" i="9" l="1"/>
  <c r="F29" i="9"/>
  <c r="F28" i="9" s="1"/>
  <c r="F125" i="9"/>
  <c r="F111" i="9" s="1"/>
  <c r="F33" i="9"/>
  <c r="F22" i="9"/>
  <c r="D54" i="11"/>
  <c r="F54" i="11"/>
  <c r="Q58" i="11"/>
  <c r="Q69" i="11" s="1"/>
  <c r="I58" i="11"/>
  <c r="I69" i="11" s="1"/>
  <c r="AC58" i="11"/>
  <c r="AC69" i="11" s="1"/>
  <c r="E58" i="11"/>
  <c r="E69" i="11" s="1"/>
  <c r="U58" i="11"/>
  <c r="U69" i="11" s="1"/>
  <c r="AA58" i="11"/>
  <c r="AA69" i="11" s="1"/>
  <c r="G58" i="11"/>
  <c r="G69" i="11" s="1"/>
  <c r="Z58" i="11"/>
  <c r="Z69" i="11" s="1"/>
  <c r="S58" i="11"/>
  <c r="S69" i="11" s="1"/>
  <c r="AJ58" i="11"/>
  <c r="AJ69" i="11" s="1"/>
  <c r="AG58" i="11"/>
  <c r="AG69" i="11" s="1"/>
  <c r="AD58" i="11"/>
  <c r="AD69" i="11" s="1"/>
  <c r="AL58" i="11"/>
  <c r="AL69" i="11" s="1"/>
  <c r="H58" i="11"/>
  <c r="H69" i="11" s="1"/>
  <c r="AB58" i="11"/>
  <c r="AB69" i="11" s="1"/>
  <c r="AP58" i="11"/>
  <c r="AP69" i="11" s="1"/>
  <c r="X58" i="11"/>
  <c r="X69" i="11" s="1"/>
  <c r="AO58" i="11"/>
  <c r="AO69" i="11" s="1"/>
  <c r="AM58" i="11"/>
  <c r="AM69" i="11" s="1"/>
  <c r="O58" i="11"/>
  <c r="O69" i="11" s="1"/>
  <c r="F58" i="11"/>
  <c r="F69" i="11" s="1"/>
  <c r="V58" i="11"/>
  <c r="V69" i="11" s="1"/>
  <c r="K58" i="11"/>
  <c r="K69" i="11" s="1"/>
  <c r="AN58" i="11"/>
  <c r="AN69" i="11" s="1"/>
  <c r="AI58" i="11"/>
  <c r="AI69" i="11" s="1"/>
  <c r="W58" i="11"/>
  <c r="W69" i="11" s="1"/>
  <c r="Y58" i="11"/>
  <c r="Y69" i="11" s="1"/>
  <c r="J58" i="11"/>
  <c r="J69" i="11" s="1"/>
  <c r="R58" i="11"/>
  <c r="R69" i="11" s="1"/>
  <c r="AQ58" i="11"/>
  <c r="AQ69" i="11" s="1"/>
  <c r="P58" i="11"/>
  <c r="P69" i="11" s="1"/>
  <c r="AE58" i="11"/>
  <c r="AE69" i="11" s="1"/>
  <c r="T58" i="11"/>
  <c r="T69" i="11" s="1"/>
  <c r="M58" i="11"/>
  <c r="M69" i="11" s="1"/>
  <c r="AH58" i="11"/>
  <c r="AH69" i="11" s="1"/>
  <c r="N58" i="11"/>
  <c r="N69" i="11" s="1"/>
  <c r="AF58" i="11"/>
  <c r="AF69" i="11" s="1"/>
  <c r="AK58" i="11"/>
  <c r="AK69" i="11" s="1"/>
  <c r="D58" i="11"/>
  <c r="D69" i="11" s="1"/>
  <c r="L58" i="11"/>
  <c r="L69" i="11" s="1"/>
  <c r="AO54" i="11"/>
  <c r="Z54" i="11"/>
  <c r="O54" i="11"/>
  <c r="U54" i="11"/>
  <c r="W54" i="11"/>
  <c r="X54" i="11"/>
  <c r="AQ54" i="11"/>
  <c r="AB54" i="11"/>
  <c r="G54" i="11"/>
  <c r="AG54" i="11"/>
  <c r="AF54" i="11"/>
  <c r="L54" i="11"/>
  <c r="R54" i="11"/>
  <c r="V54" i="11"/>
  <c r="AI54" i="11"/>
  <c r="AJ54" i="11"/>
  <c r="AA54" i="11"/>
  <c r="AC54" i="11"/>
  <c r="S54" i="11"/>
  <c r="E54" i="11"/>
  <c r="T54" i="11"/>
  <c r="Q54" i="11"/>
  <c r="M54" i="11"/>
  <c r="I54" i="11"/>
  <c r="AH54" i="11"/>
  <c r="N54" i="11"/>
  <c r="AP54" i="11"/>
  <c r="AM54" i="11"/>
  <c r="P54" i="11"/>
  <c r="K54" i="11"/>
  <c r="AK54" i="11"/>
  <c r="AD54" i="11"/>
  <c r="Y54" i="11"/>
  <c r="H54" i="11"/>
  <c r="J54" i="11"/>
  <c r="AN54" i="11"/>
  <c r="AE54" i="11"/>
  <c r="AL54" i="11"/>
  <c r="F68" i="11"/>
  <c r="D68" i="11"/>
  <c r="G68" i="11"/>
  <c r="F103" i="9" l="1"/>
  <c r="G102" i="9"/>
  <c r="H102" i="9"/>
  <c r="C59" i="11"/>
  <c r="C70" i="11" s="1"/>
  <c r="F104" i="9"/>
  <c r="F124" i="9"/>
  <c r="F110" i="9" s="1"/>
  <c r="H125" i="9"/>
  <c r="F116" i="9"/>
  <c r="F115" i="9"/>
  <c r="G125" i="9"/>
  <c r="H104" i="9" l="1"/>
  <c r="AE59" i="11"/>
  <c r="AE70" i="11" s="1"/>
  <c r="AG59" i="11"/>
  <c r="AG70" i="11" s="1"/>
  <c r="G103" i="9"/>
  <c r="J59" i="11"/>
  <c r="J70" i="11" s="1"/>
  <c r="V59" i="11"/>
  <c r="V70" i="11" s="1"/>
  <c r="AK59" i="11"/>
  <c r="AK70" i="11" s="1"/>
  <c r="W59" i="11"/>
  <c r="W70" i="11" s="1"/>
  <c r="AC59" i="11"/>
  <c r="AC70" i="11" s="1"/>
  <c r="H103" i="9"/>
  <c r="Y59" i="11"/>
  <c r="Y70" i="11" s="1"/>
  <c r="P59" i="11"/>
  <c r="P70" i="11" s="1"/>
  <c r="AB59" i="11"/>
  <c r="AB70" i="11" s="1"/>
  <c r="G104" i="9"/>
  <c r="F59" i="11"/>
  <c r="AA59" i="11"/>
  <c r="AA70" i="11" s="1"/>
  <c r="K59" i="11"/>
  <c r="K70" i="11" s="1"/>
  <c r="AI59" i="11"/>
  <c r="AI70" i="11" s="1"/>
  <c r="AO59" i="11"/>
  <c r="AO70" i="11" s="1"/>
  <c r="S59" i="11"/>
  <c r="S70" i="11" s="1"/>
  <c r="X59" i="11"/>
  <c r="X70" i="11" s="1"/>
  <c r="AP59" i="11"/>
  <c r="AP70" i="11" s="1"/>
  <c r="AL59" i="11"/>
  <c r="AL70" i="11" s="1"/>
  <c r="U59" i="11"/>
  <c r="U70" i="11" s="1"/>
  <c r="E59" i="11"/>
  <c r="E70" i="11" s="1"/>
  <c r="D59" i="11"/>
  <c r="N59" i="11"/>
  <c r="N70" i="11" s="1"/>
  <c r="AN59" i="11"/>
  <c r="AN70" i="11" s="1"/>
  <c r="R59" i="11"/>
  <c r="R70" i="11" s="1"/>
  <c r="H59" i="11"/>
  <c r="H70" i="11" s="1"/>
  <c r="O59" i="11"/>
  <c r="O70" i="11" s="1"/>
  <c r="AQ59" i="11"/>
  <c r="AQ70" i="11" s="1"/>
  <c r="M59" i="11"/>
  <c r="M70" i="11" s="1"/>
  <c r="L59" i="11"/>
  <c r="L70" i="11" s="1"/>
  <c r="AD59" i="11"/>
  <c r="AD70" i="11" s="1"/>
  <c r="Q59" i="11"/>
  <c r="Q70" i="11" s="1"/>
  <c r="AM59" i="11"/>
  <c r="AM70" i="11" s="1"/>
  <c r="AF59" i="11"/>
  <c r="AF70" i="11" s="1"/>
  <c r="Z59" i="11"/>
  <c r="Z70" i="11" s="1"/>
  <c r="T59" i="11"/>
  <c r="T70" i="11" s="1"/>
  <c r="AJ59" i="11"/>
  <c r="AJ70" i="11" s="1"/>
  <c r="G59" i="11"/>
  <c r="G70" i="11" s="1"/>
  <c r="AH59" i="11"/>
  <c r="AH70" i="11" s="1"/>
  <c r="I59" i="11"/>
  <c r="I70" i="11" s="1"/>
  <c r="G124" i="9"/>
  <c r="H116" i="9"/>
  <c r="G116" i="9"/>
  <c r="H124" i="9"/>
  <c r="G111" i="9"/>
  <c r="H111" i="9"/>
  <c r="H115" i="9"/>
  <c r="G115" i="9"/>
  <c r="D70" i="11" l="1"/>
  <c r="F70" i="11"/>
  <c r="H110" i="9"/>
  <c r="G110" i="9"/>
</calcChain>
</file>

<file path=xl/sharedStrings.xml><?xml version="1.0" encoding="utf-8"?>
<sst xmlns="http://schemas.openxmlformats.org/spreadsheetml/2006/main" count="866" uniqueCount="180">
  <si>
    <t>%</t>
  </si>
  <si>
    <t>TEUR</t>
  </si>
  <si>
    <t>-</t>
  </si>
  <si>
    <t>EUR/MWh</t>
  </si>
  <si>
    <t>M</t>
  </si>
  <si>
    <t xml:space="preserve"> EUR</t>
  </si>
  <si>
    <t xml:space="preserve"> %</t>
  </si>
  <si>
    <t>Rugsėjis, 2019</t>
  </si>
  <si>
    <t>Perdavimo paslaugų trumpalaikių nuolatinių pajėgumų produktų kainos 2020 m.</t>
  </si>
  <si>
    <t>Kalendorinių dienų skaičius metuose/ketvirčiuose/mėnesiuose:</t>
  </si>
  <si>
    <t>Tarifiniai metai</t>
  </si>
  <si>
    <t>Dienų skaičius metuose</t>
  </si>
  <si>
    <t>K</t>
  </si>
  <si>
    <t>P</t>
  </si>
  <si>
    <t>EP</t>
  </si>
  <si>
    <t>Dienų skaičius ketvirtyje (K)</t>
  </si>
  <si>
    <t>Sau</t>
  </si>
  <si>
    <t>Vas</t>
  </si>
  <si>
    <t>Kov</t>
  </si>
  <si>
    <t>Bal</t>
  </si>
  <si>
    <t>Geg</t>
  </si>
  <si>
    <t>Bir</t>
  </si>
  <si>
    <t>Lie</t>
  </si>
  <si>
    <t>Rgp</t>
  </si>
  <si>
    <t>Rgs</t>
  </si>
  <si>
    <t>Spl</t>
  </si>
  <si>
    <t>Lap</t>
  </si>
  <si>
    <t>Grd</t>
  </si>
  <si>
    <t>P/EP</t>
  </si>
  <si>
    <t>Dienų skaičius mėnesyje (M)</t>
  </si>
  <si>
    <t>Visiems įleidimo taškams</t>
  </si>
  <si>
    <t>(LT) Vidiniam ir Šakių išleidimo taškams</t>
  </si>
  <si>
    <r>
      <t>Daugikliai (DG)</t>
    </r>
    <r>
      <rPr>
        <i/>
        <sz val="10"/>
        <color theme="1"/>
        <rFont val="Calibri"/>
        <family val="2"/>
        <charset val="186"/>
        <scheme val="minor"/>
      </rPr>
      <t xml:space="preserve"> (ketvirčio (K), mėnesio (M), paros/einamosios paros (P/EP) pajėgumų produktams)</t>
    </r>
    <r>
      <rPr>
        <b/>
        <sz val="10"/>
        <color theme="1"/>
        <rFont val="Calibri"/>
        <family val="2"/>
        <charset val="186"/>
        <scheme val="minor"/>
      </rPr>
      <t>:</t>
    </r>
  </si>
  <si>
    <t>Mėnesio produktams</t>
  </si>
  <si>
    <t>Paros/einamosios paros produktams</t>
  </si>
  <si>
    <t>I K</t>
  </si>
  <si>
    <t>II K</t>
  </si>
  <si>
    <t>III K</t>
  </si>
  <si>
    <t>IV K</t>
  </si>
  <si>
    <t>Tarifiniai metai 2020 vs. 2019</t>
  </si>
  <si>
    <t>NE METŲ TRUKMĖS (TRUMPALAIKIŲ) PAJĖGUMŲ PRODUKTŲ KAINOS, EUR/MWh/parą/periodą (ketvirtį/mėnesį/parą/einamąją parą):</t>
  </si>
  <si>
    <t xml:space="preserve"> ne metų trukmės pajėgumų kainos, kaip % dalis nuo referencinės kainos:</t>
  </si>
  <si>
    <t>visiems įleidimo taškams</t>
  </si>
  <si>
    <t>(LT&gt;LV) Kiemėnų išleidimo taškui</t>
  </si>
  <si>
    <t>(LT&gt;RU) Šakių išleidimo taškui</t>
  </si>
  <si>
    <t>(LT) Vidiniam išleidimo taškui</t>
  </si>
  <si>
    <t>Referen-cinės kainos</t>
  </si>
  <si>
    <r>
      <rPr>
        <sz val="10"/>
        <color theme="1"/>
        <rFont val="Calibri"/>
        <family val="2"/>
        <charset val="186"/>
        <scheme val="minor"/>
      </rPr>
      <t xml:space="preserve">Kainos už </t>
    </r>
    <r>
      <rPr>
        <b/>
        <sz val="10"/>
        <color theme="1"/>
        <rFont val="Calibri"/>
        <family val="2"/>
        <charset val="186"/>
        <scheme val="minor"/>
      </rPr>
      <t>ketvirčio pajėgumus</t>
    </r>
  </si>
  <si>
    <r>
      <rPr>
        <sz val="10"/>
        <color theme="1"/>
        <rFont val="Calibri"/>
        <family val="2"/>
        <charset val="186"/>
        <scheme val="minor"/>
      </rPr>
      <t xml:space="preserve">Kainos už </t>
    </r>
    <r>
      <rPr>
        <b/>
        <sz val="10"/>
        <color theme="1"/>
        <rFont val="Calibri"/>
        <family val="2"/>
        <charset val="186"/>
        <scheme val="minor"/>
      </rPr>
      <t>mėnesio pajėgumus</t>
    </r>
  </si>
  <si>
    <r>
      <rPr>
        <sz val="10"/>
        <color theme="1"/>
        <rFont val="Calibri"/>
        <family val="2"/>
        <charset val="186"/>
        <scheme val="minor"/>
      </rPr>
      <t xml:space="preserve">Kainos už </t>
    </r>
    <r>
      <rPr>
        <b/>
        <sz val="10"/>
        <color theme="1"/>
        <rFont val="Calibri"/>
        <family val="2"/>
        <charset val="186"/>
        <scheme val="minor"/>
      </rPr>
      <t>paros pajėgumus</t>
    </r>
  </si>
  <si>
    <r>
      <rPr>
        <sz val="10"/>
        <color theme="1"/>
        <rFont val="Calibri"/>
        <family val="2"/>
        <charset val="186"/>
        <scheme val="minor"/>
      </rPr>
      <t xml:space="preserve">Kainos už </t>
    </r>
    <r>
      <rPr>
        <b/>
        <sz val="10"/>
        <color theme="1"/>
        <rFont val="Calibri"/>
        <family val="2"/>
        <charset val="186"/>
        <scheme val="minor"/>
      </rPr>
      <t>einamosios paros pajėgumus</t>
    </r>
  </si>
  <si>
    <t>(LV&gt;LT) Kiemėnų įleidimo taškas</t>
  </si>
  <si>
    <t>(LT&gt;LV) Kiemėnų išleidimo taškas</t>
  </si>
  <si>
    <t>(LT&gt;RU) Šakių išleidimo taškas</t>
  </si>
  <si>
    <t>(LT) Vidinis išleidimo taškas</t>
  </si>
  <si>
    <t>(SGDT&gt;LT) Klaipėdos įleidimo taškas</t>
  </si>
  <si>
    <t>Turi būti pildomi tik oranžiniai laukeliai</t>
  </si>
  <si>
    <t>Sezoniniai koeficientai (SK):</t>
  </si>
  <si>
    <t>SK (LT) Vidiniam išleidimo taškui:</t>
  </si>
  <si>
    <t>SK (LT&gt;RU) Šakių išleidimo taškui:</t>
  </si>
  <si>
    <t>Ketvirčio produktams</t>
  </si>
  <si>
    <t xml:space="preserve">Sezoninių koeficientų (SK) skaičiavimas 2020 m. (LT) Vidiniame išleidimo taške </t>
  </si>
  <si>
    <t>Sezoninių koeficientų (SK) skaičiavimas 2020 m. (LT&gt;RU) Šakių išleidimo taške</t>
  </si>
  <si>
    <t>Dujų srautų prognozė 2020 m., MWh:</t>
  </si>
  <si>
    <t>Iš viso</t>
  </si>
  <si>
    <t>Prognozuojami srautai kiekvieną dujų mėnesį</t>
  </si>
  <si>
    <t>Vidurkis</t>
  </si>
  <si>
    <t>Dujų mėnesiai</t>
  </si>
  <si>
    <r>
      <t xml:space="preserve">1 žingsnis:
Straipsnis 15(3)(a), (b): </t>
    </r>
    <r>
      <rPr>
        <i/>
        <sz val="10"/>
        <color theme="1"/>
        <rFont val="Calibri"/>
        <family val="2"/>
        <charset val="186"/>
        <scheme val="minor"/>
      </rPr>
      <t>"a) perdavimo sistemos naudojimas kiekvieną gamtinių dujų tiekimo metų mėnesį turi būti apskaičiuojamas pagal prognozuojamus srautus arba prognozuojamą užsakytą pajėgumą&lt;...&gt;", "b) a punkte nurodytos gautos vertės turi būti sudedamos;"</t>
    </r>
  </si>
  <si>
    <r>
      <t xml:space="preserve">2 žingsnis: 
Straipsnis 15(3)(c): </t>
    </r>
    <r>
      <rPr>
        <i/>
        <sz val="10"/>
        <color theme="1"/>
        <rFont val="Calibri"/>
        <family val="2"/>
        <charset val="186"/>
        <scheme val="minor"/>
      </rPr>
      <t>"c) naudojimo rodiklis turi būti apskaičiuojamas kiekvieną a punkte nurodytą vertę padalijant iš b punkte nurodytos gautos vertės;"</t>
    </r>
  </si>
  <si>
    <r>
      <t xml:space="preserve">3 žingsnis: 
Straipsnis 15(3)(d): </t>
    </r>
    <r>
      <rPr>
        <i/>
        <sz val="10"/>
        <color theme="1"/>
        <rFont val="Calibri"/>
        <family val="2"/>
        <charset val="186"/>
        <scheme val="minor"/>
      </rPr>
      <t>"d) kiekviena c punkte nurodyta gauta vertė turi būti padauginama iš 12. Jei gautos vertės yra lygios 0, tos vertės turi būti koreguojamos iki mažesniosios iš šių verčių: 0,1 arba kitos nei 0 mažiausios gautos vertės;"</t>
    </r>
  </si>
  <si>
    <r>
      <t xml:space="preserve">4 žingsnis: 
Straipsnis 15(3)(e): </t>
    </r>
    <r>
      <rPr>
        <i/>
        <sz val="10"/>
        <color theme="1"/>
        <rFont val="Calibri"/>
        <family val="2"/>
        <charset val="186"/>
        <scheme val="minor"/>
      </rPr>
      <t>"e) pradinis atitinkamų sezoninių koeficientų dydis turi būti apskaičiuojamas kiekvieną d punkte nurodytą vertę pakeliant tuo pačiu laipsniu, kuris ne mažesnis už 0 ir ne didesnis už 2;"</t>
    </r>
  </si>
  <si>
    <t>Naudojimo rodiklis:</t>
  </si>
  <si>
    <t>Naudojimo rodiklis x 12:</t>
  </si>
  <si>
    <t>Naudojimo rodiklis x 12 ^ laipsniu (pradinis SK):</t>
  </si>
  <si>
    <t>Laipsnis (0-2)</t>
  </si>
  <si>
    <r>
      <t xml:space="preserve">5 žingsnis: 
Straipsnis 15(3)(f): </t>
    </r>
    <r>
      <rPr>
        <i/>
        <sz val="10"/>
        <color theme="1"/>
        <rFont val="Calibri"/>
        <family val="2"/>
        <charset val="186"/>
        <scheme val="minor"/>
      </rPr>
      <t xml:space="preserve">"f) turi būti apskaičiuojamas e punkte nurodytų gautų verčių ir mėnesio tipinių pajėgumo produktų daugiklio sandaugų aritmetinis vidurkis;"
</t>
    </r>
    <r>
      <rPr>
        <b/>
        <sz val="10"/>
        <color theme="1"/>
        <rFont val="Calibri"/>
        <family val="2"/>
        <charset val="186"/>
        <scheme val="minor"/>
      </rPr>
      <t>Straipsnis 15(4):</t>
    </r>
    <r>
      <rPr>
        <i/>
        <sz val="10"/>
        <color theme="1"/>
        <rFont val="Calibri"/>
        <family val="2"/>
        <charset val="186"/>
        <scheme val="minor"/>
      </rPr>
      <t xml:space="preserve"> "Paros tipinių nuolatinio pajėgumo produktų ir einamosios paros tipinių nuolatinio pajėgumo produktų sezoniniai koeficientai turi būti apskaičiuojami 3 dalies f–h punktuose nustatyta seka, mutatis mutandis."</t>
    </r>
  </si>
  <si>
    <t>Pradinis SK x Mėnesio daugiklis:</t>
  </si>
  <si>
    <t>Pradinis SK x Paros/einamosios paros daugiklis:</t>
  </si>
  <si>
    <t>Mėnesio daugiklis</t>
  </si>
  <si>
    <t>Paros/einamosios paros daugiklis</t>
  </si>
  <si>
    <t>Kaip reikalaujama pagal TAR NC 15 straipsnį</t>
  </si>
  <si>
    <r>
      <t xml:space="preserve">6 žingsnis: 
Straipsnis 15(3)(g): </t>
    </r>
    <r>
      <rPr>
        <i/>
        <sz val="10"/>
        <color theme="1"/>
        <rFont val="Calibri"/>
        <family val="2"/>
        <charset val="186"/>
        <scheme val="minor"/>
      </rPr>
      <t xml:space="preserve">"g) f punkte nurodyta gauta vertė turi būti palyginama su 13 straipsnio 1 dalyje nurodytu intervalu taip: 
              (i) jei ši vertė patenka į intervalą, sezoninių koeficientų dydis turi būti lygus atitinkamoms e punkte nurodytoms gautoms vertėms;
              (ii) jei ši vertė į intervalą nepatenka, taikomas h punktas;"
</t>
    </r>
    <r>
      <rPr>
        <b/>
        <sz val="10"/>
        <color theme="1"/>
        <rFont val="Calibri"/>
        <family val="2"/>
        <charset val="186"/>
        <scheme val="minor"/>
      </rPr>
      <t xml:space="preserve">Straipsnis 13(1): </t>
    </r>
    <r>
      <rPr>
        <sz val="10"/>
        <color theme="1"/>
        <rFont val="Calibri"/>
        <family val="2"/>
        <charset val="186"/>
        <scheme val="minor"/>
      </rPr>
      <t>"</t>
    </r>
    <r>
      <rPr>
        <i/>
        <sz val="10"/>
        <color theme="1"/>
        <rFont val="Calibri"/>
        <family val="2"/>
        <charset val="186"/>
        <scheme val="minor"/>
      </rPr>
      <t xml:space="preserve">13&lt;..&gt;1. Daugiklių dydžio intervalai šie: 
              (a) ketvirčio tipinių pajėgumo produktų ir mėnesio tipinių pajėgumo produktų atitinkamas daugiklis turi būti ne mažesnis kaip 1 ir ne didesnis kaip 1,5; 
              (b) paros tipinių pajėgumo produktų ir einamosios paros tipinių pajėgumo produktų atitinkamas daugiklis turi būti ne mažesnis kaip 1 ir ne didesnis kaip 3. Tinkamai pagrįstais atvejais nurodyti daugikliai gali būti mažesni kaip 1, bet didesni kaip 0, arba didesni kaip 3.
</t>
    </r>
    <r>
      <rPr>
        <b/>
        <sz val="10"/>
        <color theme="1"/>
        <rFont val="Calibri"/>
        <family val="2"/>
        <charset val="186"/>
        <scheme val="minor"/>
      </rPr>
      <t>Straipsnis 15(3)(h):</t>
    </r>
    <r>
      <rPr>
        <i/>
        <sz val="10"/>
        <color theme="1"/>
        <rFont val="Calibri"/>
        <family val="2"/>
        <charset val="186"/>
        <scheme val="minor"/>
      </rPr>
      <t xml:space="preserve"> "h) sezoninių koeficientų dydis turi būti apskaičiuojamas kaip atitinkamų e punkte nurodytų gautų verčių ir pataisos koeficiento sandauga, laikantis šių sąlygų:
               i) jei f punkte nurodyta gauta vertė yra didesnė kaip 1,5, pataisos koeficientas turi būti apskaičiuojamas 1,5 padalijant iš šios vertės; 
               ii) jei f punkte nurodyta gauta vertė yra mažesnė kaip 1, pataisos koeficientas turi būti apskaičiuojamas 1 padalijant iš šios vertės."</t>
    </r>
  </si>
  <si>
    <t>Mėnesio SK (pradinis SK x pataisos koeficientas):</t>
  </si>
  <si>
    <t>Pataisos koeficientas: Mėnesio</t>
  </si>
  <si>
    <t>Pataisos koeficientas: Paros/einamosios paros</t>
  </si>
  <si>
    <t>Dujų ketvirčiai</t>
  </si>
  <si>
    <t>Ketvirčio SK:</t>
  </si>
  <si>
    <r>
      <t xml:space="preserve">7 žingsnis: 
Straipsnis 15(5): </t>
    </r>
    <r>
      <rPr>
        <i/>
        <sz val="10"/>
        <color theme="1"/>
        <rFont val="Calibri"/>
        <family val="2"/>
        <charset val="186"/>
        <scheme val="minor"/>
      </rPr>
      <t xml:space="preserve">"Ketvirčio tipinių nuolatinio pajėgumo produktų sezoniniai koeficientai turi būti apskaičiuojami šia seka:
              (a) pradinis atitinkamų sezoninių koeficientų dydis turi būti apskaičiuojamas pagal vieną iš šių sąlygų: 
                      (i) koeficientas yra lygus atitinkamų sezoninių koeficientų, taikomų tris susijusius mėnesius, paprastam aritmetiniam vidurkiui; 
                      (ii) koeficientas yra ne mažesnis už mažiausiąjį ir ne didesnis už didžiausiąjį iš atitinkamų sezoninių koeficientų, taikomų tris susijusius mėnesius;
              (b) 3 dalies f–h punktuose nustatyti žingsniai turi būti atlikti naudojant a punkte nurodytas gautas vertes, mutatis mutandis.“
</t>
    </r>
    <r>
      <rPr>
        <b/>
        <sz val="10"/>
        <color theme="1"/>
        <rFont val="Calibri"/>
        <family val="2"/>
        <charset val="186"/>
        <scheme val="minor"/>
      </rPr>
      <t/>
    </r>
  </si>
  <si>
    <r>
      <t xml:space="preserve">8 žingsnis: 
Straipsnis 15(6): </t>
    </r>
    <r>
      <rPr>
        <i/>
        <sz val="10"/>
        <color theme="1"/>
        <rFont val="Calibri"/>
        <family val="2"/>
        <charset val="186"/>
        <scheme val="minor"/>
      </rPr>
      <t xml:space="preserve">"Ne metų tipinių nuolatinio pajėgumo produktų atveju 3–5 dalyse nurodytu skaičiavimu gautos vertės gali būti apvalinamos (didinamos arba mažinamos)."     
</t>
    </r>
    <r>
      <rPr>
        <b/>
        <sz val="10"/>
        <color theme="1"/>
        <rFont val="Calibri"/>
        <family val="2"/>
        <charset val="186"/>
        <scheme val="minor"/>
      </rPr>
      <t/>
    </r>
  </si>
  <si>
    <r>
      <rPr>
        <b/>
        <sz val="10"/>
        <color theme="1"/>
        <rFont val="Calibri"/>
        <family val="2"/>
        <charset val="186"/>
        <scheme val="minor"/>
      </rPr>
      <t xml:space="preserve">Mėnesio SK </t>
    </r>
    <r>
      <rPr>
        <sz val="10"/>
        <color theme="1"/>
        <rFont val="Calibri"/>
        <family val="2"/>
        <charset val="186"/>
        <scheme val="minor"/>
      </rPr>
      <t>(galutiniai - taikytini kainoms):</t>
    </r>
  </si>
  <si>
    <r>
      <rPr>
        <b/>
        <sz val="10"/>
        <color theme="1"/>
        <rFont val="Calibri"/>
        <family val="2"/>
        <charset val="186"/>
        <scheme val="minor"/>
      </rPr>
      <t xml:space="preserve">Paros/einam. paros SK </t>
    </r>
    <r>
      <rPr>
        <sz val="10"/>
        <color theme="1"/>
        <rFont val="Calibri"/>
        <family val="2"/>
        <charset val="186"/>
        <scheme val="minor"/>
      </rPr>
      <t>(galutiniai - taikytini kainoms):</t>
    </r>
  </si>
  <si>
    <t>Paros/einam. paros SK (pradinis SF x pataisos koef.):</t>
  </si>
  <si>
    <r>
      <rPr>
        <b/>
        <sz val="10"/>
        <color theme="1"/>
        <rFont val="Calibri"/>
        <family val="2"/>
        <charset val="186"/>
        <scheme val="minor"/>
      </rPr>
      <t xml:space="preserve">Ketvirčio SK </t>
    </r>
    <r>
      <rPr>
        <sz val="10"/>
        <color theme="1"/>
        <rFont val="Calibri"/>
        <family val="2"/>
        <charset val="186"/>
        <scheme val="minor"/>
      </rPr>
      <t>(galutiniai - taikytini kainoms):</t>
    </r>
  </si>
  <si>
    <t>Turi būti pildomi tik oranžiniai laukeliai (pilki laukeliai: skaičiavimai arba faktiniai įvesties ar išvesties 2019 m. duomenys; rudi laukeliai: duomenys iš kito darbalaukio)</t>
  </si>
  <si>
    <t>Perdavimo paslaugų kainų ir referencinių kainų (be PVM) 2020 tarifiniams metams skaičiavimas (naudojantis AB „Amber Grid“ gamtinių dujų perdavimo sistemos infrastruktūra)</t>
  </si>
  <si>
    <r>
      <rPr>
        <b/>
        <sz val="11"/>
        <color theme="1"/>
        <rFont val="Calibri"/>
        <family val="2"/>
        <charset val="186"/>
        <scheme val="minor"/>
      </rPr>
      <t>PAAIŠKINIMAI:</t>
    </r>
    <r>
      <rPr>
        <b/>
        <sz val="11"/>
        <color rgb="FFFF0000"/>
        <rFont val="Calibri"/>
        <family val="2"/>
        <charset val="186"/>
        <scheme val="minor"/>
      </rPr>
      <t xml:space="preserve">
</t>
    </r>
    <r>
      <rPr>
        <sz val="11"/>
        <color theme="1"/>
        <rFont val="Calibri"/>
        <family val="2"/>
        <charset val="186"/>
        <scheme val="minor"/>
      </rPr>
      <t xml:space="preserve">Šio kainų skaičiavimo modelio 4 darbalaukiai yra skirti šiems tikslams:
 - šis darbalaukis: referencinių kainų (už nuolatinius metų pajėgumų produktus), kainų už kiekį, kainų už vartojimo pajėgumus, sąnaudų paskirstymo lyginamųjų indeksų kainoms už pajėgumus ir kiekį skaičiavimui (pagrindiniai įvesties parametrai turi būti įvedami šiame darbalaukyje);
- darbalaukis </t>
    </r>
    <r>
      <rPr>
        <i/>
        <sz val="11"/>
        <color theme="1"/>
        <rFont val="Calibri"/>
        <family val="2"/>
        <charset val="186"/>
        <scheme val="minor"/>
      </rPr>
      <t>DG_SK, Trumpal. kainos 2020</t>
    </r>
    <r>
      <rPr>
        <sz val="11"/>
        <color theme="1"/>
        <rFont val="Calibri"/>
        <family val="2"/>
        <charset val="186"/>
        <scheme val="minor"/>
      </rPr>
      <t>: trumpalaikių nuolatinių pajėgumų produktų skaičiavimui, įskaitant daugiklių ir sezoninių koeficientų įvesties duomenis;
- paskutiniai du darbalaukiai: sezoninių koeficientų Vidiniame ir Šakių išleidimo taškuose 2020 m. skaičiavimui.</t>
    </r>
  </si>
  <si>
    <t>! Nepriklausomai nuo įvesties duomenų, įleidimo/išleidimo proporcijos, kaip įvesties parametro, įleidimo (%) dalis 2020 m. (šio darbalaukio laukelis F50) turi būti pakoreguotas taip, kad referencinė kaina Kotlovkos įleidimo taške (laisvai skirstomiems pajėgumams) (šio darbalaukio laukelis F95) būtų lygi kainai, taikytinai FINESTLAT kainų zonoje (142,77 Eur)</t>
  </si>
  <si>
    <t>Tarifų metai 2019</t>
  </si>
  <si>
    <t>Tarifų metai 2020</t>
  </si>
  <si>
    <t xml:space="preserve">     iš jų LP, nevertinant Reguliavimo sąskaitos</t>
  </si>
  <si>
    <t xml:space="preserve">     iš jų - Reguliavimo sąskaita</t>
  </si>
  <si>
    <r>
      <t xml:space="preserve">     iš jų priskirta </t>
    </r>
    <r>
      <rPr>
        <b/>
        <sz val="10"/>
        <color theme="1"/>
        <rFont val="Calibri"/>
        <family val="2"/>
        <charset val="186"/>
        <scheme val="minor"/>
      </rPr>
      <t>Lokaliam tinklui</t>
    </r>
  </si>
  <si>
    <r>
      <t xml:space="preserve">     iš jų priskirta </t>
    </r>
    <r>
      <rPr>
        <b/>
        <sz val="10"/>
        <color theme="1"/>
        <rFont val="Calibri"/>
        <family val="2"/>
        <charset val="186"/>
        <scheme val="minor"/>
      </rPr>
      <t xml:space="preserve">Pagrindiniam tinklui </t>
    </r>
    <r>
      <rPr>
        <i/>
        <sz val="10"/>
        <color theme="1"/>
        <rFont val="Calibri"/>
        <family val="2"/>
        <charset val="186"/>
        <scheme val="minor"/>
      </rPr>
      <t>(pradinis lygis perdavimo Pagrindiniu tinklu paslaugų referencinėms kainoms nustatyti (už nuolatinius metų pajėgumų produktus))</t>
    </r>
  </si>
  <si>
    <r>
      <t xml:space="preserve">     iš jų priskirta </t>
    </r>
    <r>
      <rPr>
        <b/>
        <sz val="10"/>
        <color theme="1"/>
        <rFont val="Calibri"/>
        <family val="2"/>
        <charset val="186"/>
        <scheme val="minor"/>
      </rPr>
      <t xml:space="preserve">Pagrindiniam tinklui </t>
    </r>
    <r>
      <rPr>
        <i/>
        <sz val="10"/>
        <color theme="1"/>
        <rFont val="Calibri"/>
        <family val="2"/>
        <charset val="186"/>
        <scheme val="minor"/>
      </rPr>
      <t>(lygis perdavimo Pagrindiniu tinklu paslaugų referencinėms kainoms nustatyti (už nuolatinius metų pajėgumų produktus))</t>
    </r>
  </si>
  <si>
    <r>
      <t>iš jų priskirta transportavimo į trečiąją šalį paslaugai</t>
    </r>
    <r>
      <rPr>
        <i/>
        <vertAlign val="superscript"/>
        <sz val="10"/>
        <color theme="1"/>
        <rFont val="Calibri"/>
        <family val="2"/>
        <charset val="186"/>
        <scheme val="minor"/>
      </rPr>
      <t xml:space="preserve"> </t>
    </r>
  </si>
  <si>
    <t>iš jų priskirta pajamoms už vartojimo pajėgumus</t>
  </si>
  <si>
    <t>pajamų už vartojimo pajėgumus dalis Lokalaus tinklo paslaugų pajamose</t>
  </si>
  <si>
    <r>
      <t xml:space="preserve">   iš jų priskirta sistemos naudotojų Grupei &gt; 10,4 TWh/metus</t>
    </r>
    <r>
      <rPr>
        <i/>
        <vertAlign val="superscript"/>
        <sz val="10"/>
        <color theme="1"/>
        <rFont val="Calibri"/>
        <family val="2"/>
        <charset val="186"/>
        <scheme val="minor"/>
      </rPr>
      <t>3</t>
    </r>
  </si>
  <si>
    <r>
      <t>LP priskyrimas paslaugoms iki Reguliavimo sąskaitos įvertinimo</t>
    </r>
    <r>
      <rPr>
        <sz val="10"/>
        <color theme="1"/>
        <rFont val="Calibri"/>
        <family val="2"/>
        <charset val="186"/>
        <scheme val="minor"/>
      </rPr>
      <t>:</t>
    </r>
  </si>
  <si>
    <r>
      <t>iš jų priskirta transportavimo į trečiąją šalį paslaugai už pajėgumu grindžiamas kainas</t>
    </r>
    <r>
      <rPr>
        <i/>
        <vertAlign val="superscript"/>
        <sz val="10"/>
        <color theme="1"/>
        <rFont val="Calibri"/>
        <family val="2"/>
        <charset val="186"/>
        <scheme val="minor"/>
      </rPr>
      <t xml:space="preserve"> </t>
    </r>
  </si>
  <si>
    <t xml:space="preserve">iš jų priskirta dujų perdavimo ES poreikiams Pagrindiniu tinklu paslaugai </t>
  </si>
  <si>
    <t xml:space="preserve">iš jų priskirta dujų perdavimo ES poreikiams Pagrindiniu tinklu paslaugai už pajėgumu grindžiamas kainas </t>
  </si>
  <si>
    <r>
      <t>iš jų priskirta transportavimo į trečiąją šalį paslaugai už kiekiu grindžiamas kainas</t>
    </r>
    <r>
      <rPr>
        <i/>
        <vertAlign val="superscript"/>
        <sz val="10"/>
        <color theme="1"/>
        <rFont val="Calibri"/>
        <family val="2"/>
        <charset val="186"/>
        <scheme val="minor"/>
      </rPr>
      <t xml:space="preserve"> </t>
    </r>
  </si>
  <si>
    <t xml:space="preserve">iš jų priskirta dujų perdavimo ES poreikiams Pagrindiniu tinklu paslaugai už kiekiu grindžiamas kainas </t>
  </si>
  <si>
    <r>
      <t xml:space="preserve">LP dalis, </t>
    </r>
    <r>
      <rPr>
        <sz val="10"/>
        <color theme="1"/>
        <rFont val="Calibri"/>
        <family val="2"/>
        <charset val="238"/>
        <scheme val="minor"/>
      </rPr>
      <t xml:space="preserve">priskirtina </t>
    </r>
    <r>
      <rPr>
        <b/>
        <sz val="10"/>
        <color theme="1"/>
        <rFont val="Calibri"/>
        <family val="2"/>
        <charset val="238"/>
        <scheme val="minor"/>
      </rPr>
      <t>Pagrindinio tinklo paslaugoms (iki Reguliavimo sąskaitos įvertinimo)</t>
    </r>
    <r>
      <rPr>
        <sz val="10"/>
        <color theme="1"/>
        <rFont val="Calibri"/>
        <family val="2"/>
        <charset val="238"/>
        <scheme val="minor"/>
      </rPr>
      <t>:</t>
    </r>
  </si>
  <si>
    <r>
      <t>iš jų priskirta Pagrindiniam tinklui</t>
    </r>
    <r>
      <rPr>
        <i/>
        <vertAlign val="superscript"/>
        <sz val="10"/>
        <color theme="1"/>
        <rFont val="Calibri"/>
        <family val="2"/>
        <charset val="186"/>
        <scheme val="minor"/>
      </rPr>
      <t xml:space="preserve"> </t>
    </r>
  </si>
  <si>
    <r>
      <t>iš jų priskirta Lokaliam tinklui</t>
    </r>
    <r>
      <rPr>
        <i/>
        <vertAlign val="superscript"/>
        <sz val="10"/>
        <color theme="1"/>
        <rFont val="Calibri"/>
        <family val="2"/>
        <charset val="186"/>
        <scheme val="minor"/>
      </rPr>
      <t xml:space="preserve"> </t>
    </r>
  </si>
  <si>
    <r>
      <t xml:space="preserve">LP dalis, </t>
    </r>
    <r>
      <rPr>
        <sz val="10"/>
        <color theme="1"/>
        <rFont val="Calibri"/>
        <family val="2"/>
        <charset val="186"/>
        <scheme val="minor"/>
      </rPr>
      <t xml:space="preserve">priskirtina </t>
    </r>
    <r>
      <rPr>
        <b/>
        <sz val="10"/>
        <color theme="1"/>
        <rFont val="Calibri"/>
        <family val="2"/>
        <charset val="186"/>
        <scheme val="minor"/>
      </rPr>
      <t xml:space="preserve">trumpalaikėms paslaugoms </t>
    </r>
    <r>
      <rPr>
        <i/>
        <sz val="10"/>
        <color theme="1"/>
        <rFont val="Calibri"/>
        <family val="2"/>
        <charset val="186"/>
        <scheme val="minor"/>
      </rPr>
      <t>(nuo 2020 m. LP dalis nėra priskiriamo šioms paslaugoms, nes metų pajėgumų produktų kainos yra skaičiuojamos pagal bendrą metų pajėgumų ekvivalento prognozę):</t>
    </r>
  </si>
  <si>
    <r>
      <t xml:space="preserve">LP dalis, </t>
    </r>
    <r>
      <rPr>
        <sz val="10"/>
        <color theme="1"/>
        <rFont val="Calibri"/>
        <family val="2"/>
        <charset val="186"/>
        <scheme val="minor"/>
      </rPr>
      <t xml:space="preserve">priskitina </t>
    </r>
    <r>
      <rPr>
        <b/>
        <sz val="10"/>
        <color theme="1"/>
        <rFont val="Calibri"/>
        <family val="2"/>
        <charset val="186"/>
        <scheme val="minor"/>
      </rPr>
      <t>perdavimo Pagrindiniu tinklu paslaugų referencinėms kainoms (už nuolatinius metų pajėgumus), perdavimo Lokaliu tinklu ilgalaikių paslaugų kainoms ir kainoms už kiekį skaičiuoti</t>
    </r>
    <r>
      <rPr>
        <sz val="10"/>
        <color theme="1"/>
        <rFont val="Calibri"/>
        <family val="2"/>
        <charset val="186"/>
        <scheme val="minor"/>
      </rPr>
      <t>:</t>
    </r>
  </si>
  <si>
    <t>Įleidimo</t>
  </si>
  <si>
    <t>Išleidimo</t>
  </si>
  <si>
    <t>Pajėgumai</t>
  </si>
  <si>
    <t>Kiekis</t>
  </si>
  <si>
    <r>
      <t xml:space="preserve">SGD įleidimo </t>
    </r>
    <r>
      <rPr>
        <sz val="10"/>
        <color theme="1"/>
        <rFont val="Calibri"/>
        <family val="2"/>
        <charset val="186"/>
        <scheme val="minor"/>
      </rPr>
      <t xml:space="preserve">(Klaipėdos) </t>
    </r>
    <r>
      <rPr>
        <b/>
        <sz val="10"/>
        <color theme="1"/>
        <rFont val="Calibri"/>
        <family val="2"/>
        <charset val="186"/>
        <scheme val="minor"/>
      </rPr>
      <t xml:space="preserve">taško nuolaida </t>
    </r>
  </si>
  <si>
    <r>
      <t>Pokytis 2020 vs. 2019</t>
    </r>
    <r>
      <rPr>
        <b/>
        <vertAlign val="superscript"/>
        <sz val="10"/>
        <color theme="1"/>
        <rFont val="Calibri"/>
        <family val="2"/>
        <charset val="186"/>
        <scheme val="minor"/>
      </rPr>
      <t>1</t>
    </r>
    <r>
      <rPr>
        <b/>
        <sz val="10"/>
        <color theme="1"/>
        <rFont val="Calibri"/>
        <family val="2"/>
        <charset val="238"/>
        <scheme val="minor"/>
      </rPr>
      <t>, %</t>
    </r>
  </si>
  <si>
    <t>(BY&gt;LT) Kotlovkos įleidimo taškas</t>
  </si>
  <si>
    <t xml:space="preserve">     iš jų transportavimui į išleidimo taškus, kitus nei į Šakių išleidimo tašką</t>
  </si>
  <si>
    <t>Įleidimo taškų suma transportavimui į išleidimo taškus, kitus nei į Šakių išleidimo tašką, iš viso</t>
  </si>
  <si>
    <t xml:space="preserve">     iš jų Klaipėdos įleidimo taškui</t>
  </si>
  <si>
    <t xml:space="preserve">     iš jų Kotlovkos įleidimo taškui (transportavimui į išleidimo taškus, kitus nei į Šakių išleidimo tašką) </t>
  </si>
  <si>
    <t xml:space="preserve">     iš jų įleidimo taškams, išskyrus Klaipėdos įleidimo tašką</t>
  </si>
  <si>
    <t xml:space="preserve">     iš jų Kiemėnų įleidimo taškui</t>
  </si>
  <si>
    <r>
      <t>Grupei ≤ 10,4 TWh/metus</t>
    </r>
    <r>
      <rPr>
        <vertAlign val="superscript"/>
        <sz val="10"/>
        <color theme="1"/>
        <rFont val="Calibri"/>
        <family val="2"/>
        <charset val="186"/>
        <scheme val="minor"/>
      </rPr>
      <t>2</t>
    </r>
    <r>
      <rPr>
        <sz val="10"/>
        <color theme="1"/>
        <rFont val="Calibri"/>
        <family val="2"/>
        <charset val="186"/>
        <scheme val="minor"/>
      </rPr>
      <t xml:space="preserve"> </t>
    </r>
  </si>
  <si>
    <r>
      <t>Grupei &gt; 10,4 TWh/metus</t>
    </r>
    <r>
      <rPr>
        <vertAlign val="superscript"/>
        <sz val="10"/>
        <color theme="1"/>
        <rFont val="Calibri"/>
        <family val="2"/>
        <charset val="186"/>
        <scheme val="minor"/>
      </rPr>
      <t>3</t>
    </r>
    <r>
      <rPr>
        <sz val="10"/>
        <color theme="1"/>
        <rFont val="Calibri"/>
        <family val="2"/>
        <charset val="186"/>
        <scheme val="minor"/>
      </rPr>
      <t xml:space="preserve"> </t>
    </r>
  </si>
  <si>
    <t>Išleidimo taškų suma iš viso</t>
  </si>
  <si>
    <t>MWh/parą/metus</t>
  </si>
  <si>
    <t>MWh/metus</t>
  </si>
  <si>
    <t>(BY&gt;LT) Kotlovkos įleidimo taškas (apribotasis pajėgumų produktas)</t>
  </si>
  <si>
    <t>Pokytis 2020 vs. 2019, %</t>
  </si>
  <si>
    <t>Tarifiniai metai 2020</t>
  </si>
  <si>
    <t>Tarifiniai metai 2019</t>
  </si>
  <si>
    <r>
      <t>LP priskyrimas paslaugoms po Reguliavimo sąskaitos įvertinimo</t>
    </r>
    <r>
      <rPr>
        <sz val="10"/>
        <color theme="1"/>
        <rFont val="Calibri"/>
        <family val="2"/>
        <charset val="186"/>
        <scheme val="minor"/>
      </rPr>
      <t>:</t>
    </r>
  </si>
  <si>
    <t>Pokytis 2020 vs. 2019</t>
  </si>
  <si>
    <r>
      <t>Dujų srautų ir vartojimo pajėgumų prognozė</t>
    </r>
    <r>
      <rPr>
        <i/>
        <sz val="10"/>
        <color theme="1"/>
        <rFont val="Calibri"/>
        <family val="2"/>
        <charset val="186"/>
        <scheme val="minor"/>
      </rPr>
      <t xml:space="preserve"> (kiekiu grindžiamų perdavimo (naudojantis Pagrindinio tinklo paslaugomis) kainų ir Lokalaus tinklo kainų išvedimui) </t>
    </r>
  </si>
  <si>
    <t>Visi išleidimo taškai: bendra išleidž. dujų srautų suma kiekiu grindžiamų perdav. kainų išvedimui</t>
  </si>
  <si>
    <t>(LT) Vidinis išleidimo taškas: vartojimo pajėgumai Lokalaus tinklo kainų išvedimui</t>
  </si>
  <si>
    <t>(LT) Vidinis išleidimo taškas: transportuojamas dujų kiekis Lokalaus tinklo kainų išvedimui</t>
  </si>
  <si>
    <t xml:space="preserve">PERDAVIMO KAINOS: </t>
  </si>
  <si>
    <t>Kainos už vartojimo pajėgumus Vidiniame išleidimo taške:</t>
  </si>
  <si>
    <t>(LT) Vidinis išleidimo taškas*</t>
  </si>
  <si>
    <r>
      <t>Grupei ≤ 10,4 TWh/metus</t>
    </r>
    <r>
      <rPr>
        <i/>
        <vertAlign val="superscript"/>
        <sz val="10"/>
        <color theme="0" tint="-0.499984740745262"/>
        <rFont val="Calibri"/>
        <family val="2"/>
        <charset val="186"/>
        <scheme val="minor"/>
      </rPr>
      <t>2</t>
    </r>
    <r>
      <rPr>
        <i/>
        <sz val="10"/>
        <color theme="0" tint="-0.499984740745262"/>
        <rFont val="Calibri"/>
        <family val="2"/>
        <charset val="186"/>
        <scheme val="minor"/>
      </rPr>
      <t xml:space="preserve"> **</t>
    </r>
  </si>
  <si>
    <r>
      <t>Grupei &gt; 10,4 TWh/metus</t>
    </r>
    <r>
      <rPr>
        <i/>
        <vertAlign val="superscript"/>
        <sz val="10"/>
        <color theme="0" tint="-0.499984740745262"/>
        <rFont val="Calibri"/>
        <family val="2"/>
        <charset val="186"/>
        <scheme val="minor"/>
      </rPr>
      <t>3</t>
    </r>
    <r>
      <rPr>
        <i/>
        <sz val="10"/>
        <color theme="0" tint="-0.499984740745262"/>
        <rFont val="Calibri"/>
        <family val="2"/>
        <charset val="186"/>
        <scheme val="minor"/>
      </rPr>
      <t xml:space="preserve"> **</t>
    </r>
  </si>
  <si>
    <r>
      <t>(LT) Vidinis išleidimo taškas Grupei ≤ 10,4 TWh/metus</t>
    </r>
    <r>
      <rPr>
        <i/>
        <vertAlign val="superscript"/>
        <sz val="10"/>
        <color theme="1"/>
        <rFont val="Calibri"/>
        <family val="2"/>
        <charset val="186"/>
        <scheme val="minor"/>
      </rPr>
      <t>2</t>
    </r>
    <r>
      <rPr>
        <sz val="10"/>
        <color theme="1"/>
        <rFont val="Calibri"/>
        <family val="2"/>
        <charset val="186"/>
        <scheme val="minor"/>
      </rPr>
      <t xml:space="preserve"> </t>
    </r>
  </si>
  <si>
    <r>
      <t>(LT) Vidinis išleidimo taškas Grupei &gt; 10,4 TWh/metus</t>
    </r>
    <r>
      <rPr>
        <vertAlign val="superscript"/>
        <sz val="10"/>
        <color theme="1"/>
        <rFont val="Calibri"/>
        <family val="2"/>
        <charset val="186"/>
        <scheme val="minor"/>
      </rPr>
      <t>3</t>
    </r>
  </si>
  <si>
    <t>EUR/MWh/parą/metus</t>
  </si>
  <si>
    <t>Pagrindinis tinklas:</t>
  </si>
  <si>
    <t>Lokalus tinklas (Vidiniame išleidimo taške):</t>
  </si>
  <si>
    <r>
      <t xml:space="preserve">Pajėgumu grindžiamos kainos </t>
    </r>
    <r>
      <rPr>
        <sz val="10"/>
        <color theme="1"/>
        <rFont val="Calibri"/>
        <family val="2"/>
        <charset val="186"/>
        <scheme val="minor"/>
      </rPr>
      <t xml:space="preserve">(angl. </t>
    </r>
    <r>
      <rPr>
        <i/>
        <sz val="10"/>
        <color theme="1"/>
        <rFont val="Calibri"/>
        <family val="2"/>
        <charset val="186"/>
        <scheme val="minor"/>
      </rPr>
      <t>Capacity-based tariffs</t>
    </r>
    <r>
      <rPr>
        <sz val="10"/>
        <color theme="1"/>
        <rFont val="Calibri"/>
        <family val="2"/>
        <charset val="186"/>
        <scheme val="minor"/>
      </rPr>
      <t>)</t>
    </r>
    <r>
      <rPr>
        <b/>
        <sz val="10"/>
        <color theme="1"/>
        <rFont val="Calibri"/>
        <family val="2"/>
        <charset val="238"/>
        <scheme val="minor"/>
      </rPr>
      <t xml:space="preserve">: Rzervuojamosios kainos (už nuolatinius metų pajėgumų produktus) </t>
    </r>
  </si>
  <si>
    <r>
      <t xml:space="preserve">Kainos už kiekį </t>
    </r>
    <r>
      <rPr>
        <sz val="10"/>
        <color theme="1"/>
        <rFont val="Calibri"/>
        <family val="2"/>
        <charset val="186"/>
        <scheme val="minor"/>
      </rPr>
      <t xml:space="preserve">(angl. </t>
    </r>
    <r>
      <rPr>
        <i/>
        <sz val="10"/>
        <color theme="1"/>
        <rFont val="Calibri"/>
        <family val="2"/>
        <charset val="186"/>
        <scheme val="minor"/>
      </rPr>
      <t>Flow-based charges</t>
    </r>
    <r>
      <rPr>
        <sz val="10"/>
        <color theme="1"/>
        <rFont val="Calibri"/>
        <family val="2"/>
        <charset val="186"/>
        <scheme val="minor"/>
      </rPr>
      <t>)</t>
    </r>
    <r>
      <rPr>
        <b/>
        <sz val="10"/>
        <color theme="1"/>
        <rFont val="Calibri"/>
        <family val="2"/>
        <charset val="238"/>
        <scheme val="minor"/>
      </rPr>
      <t>:</t>
    </r>
  </si>
  <si>
    <t>KAINŲ UŽ KIEKĮ SUDEDAMŲJŲ DALIŲ UŽ PAGRINDINĮ IR LOKALŲ TINKLUS SKAIČIAVIMAS:</t>
  </si>
  <si>
    <r>
      <t xml:space="preserve">Kiekiu grindžiama kaina (angl. </t>
    </r>
    <r>
      <rPr>
        <i/>
        <sz val="10"/>
        <color theme="1"/>
        <rFont val="Calibri"/>
        <family val="2"/>
        <charset val="186"/>
        <scheme val="minor"/>
      </rPr>
      <t>Commodity-based tariff</t>
    </r>
    <r>
      <rPr>
        <sz val="10"/>
        <color theme="1"/>
        <rFont val="Calibri"/>
        <family val="2"/>
        <charset val="186"/>
        <scheme val="minor"/>
      </rPr>
      <t>) visuose išleidimo taškuose</t>
    </r>
  </si>
  <si>
    <r>
      <t>Kainos už kiekį sudedamoji dalis Grupei ≤ 10,4 TWh/metus</t>
    </r>
    <r>
      <rPr>
        <vertAlign val="superscript"/>
        <sz val="10"/>
        <color theme="1"/>
        <rFont val="Calibri"/>
        <family val="2"/>
        <charset val="186"/>
        <scheme val="minor"/>
      </rPr>
      <t xml:space="preserve">2 </t>
    </r>
  </si>
  <si>
    <r>
      <t>Kainos už kiekį sudedamoji dalis Grupei &gt; 10,4 TWh/metus</t>
    </r>
    <r>
      <rPr>
        <vertAlign val="superscript"/>
        <sz val="10"/>
        <color theme="1"/>
        <rFont val="Calibri"/>
        <family val="2"/>
        <charset val="186"/>
        <scheme val="minor"/>
      </rPr>
      <t>3</t>
    </r>
    <r>
      <rPr>
        <sz val="10"/>
        <color theme="1"/>
        <rFont val="Calibri"/>
        <family val="2"/>
        <charset val="186"/>
        <scheme val="minor"/>
      </rPr>
      <t/>
    </r>
  </si>
  <si>
    <r>
      <rPr>
        <i/>
        <vertAlign val="superscript"/>
        <sz val="10"/>
        <color rgb="FF000000"/>
        <rFont val="Calibri"/>
        <family val="2"/>
        <charset val="186"/>
        <scheme val="minor"/>
      </rPr>
      <t xml:space="preserve">2 </t>
    </r>
    <r>
      <rPr>
        <i/>
        <sz val="10"/>
        <color rgb="FF000000"/>
        <rFont val="Calibri"/>
        <family val="2"/>
        <charset val="186"/>
        <scheme val="minor"/>
      </rPr>
      <t>Sistemos naudotojų, per metus per Lietuvos Vidinį išleidimo tašką transportuojančių iki 10,4 teravatvalandžių (TWh) atitinkantį gamtinių dujų kiekį (Q) (imtinai), grupei (Q ≤ 10,4 TWh).</t>
    </r>
  </si>
  <si>
    <r>
      <rPr>
        <i/>
        <vertAlign val="superscript"/>
        <sz val="10"/>
        <color rgb="FF000000"/>
        <rFont val="Calibri"/>
        <family val="2"/>
        <charset val="186"/>
        <scheme val="minor"/>
      </rPr>
      <t xml:space="preserve">3 </t>
    </r>
    <r>
      <rPr>
        <i/>
        <sz val="10"/>
        <color rgb="FF000000"/>
        <rFont val="Calibri"/>
        <family val="2"/>
        <charset val="186"/>
        <scheme val="minor"/>
      </rPr>
      <t>Sistemos naudotojų, per metus per Lietuvos Vidinį išleidimo tašką į vieną gamtinių dujų pristatymo vietą transportuojančių daugiau kaip 10,4 teravatvalandžių (TWh) atitinkantį gamtinių dujų kiekį (Q), grupei (Q &gt; 10,4 TWh).</t>
    </r>
  </si>
  <si>
    <r>
      <t>Užsakomų pajėgumų prognozė</t>
    </r>
    <r>
      <rPr>
        <b/>
        <vertAlign val="superscript"/>
        <sz val="10"/>
        <color theme="1"/>
        <rFont val="Calibri"/>
        <family val="2"/>
        <charset val="186"/>
        <scheme val="minor"/>
      </rPr>
      <t>1</t>
    </r>
    <r>
      <rPr>
        <i/>
        <sz val="10"/>
        <color theme="1"/>
        <rFont val="Calibri"/>
        <family val="2"/>
        <charset val="186"/>
        <scheme val="minor"/>
      </rPr>
      <t xml:space="preserve"> (pajėgumu grindžiamų perdavimo kainų išvedimui) </t>
    </r>
  </si>
  <si>
    <r>
      <rPr>
        <i/>
        <vertAlign val="superscript"/>
        <sz val="10"/>
        <color theme="1"/>
        <rFont val="Calibri"/>
        <family val="2"/>
        <charset val="186"/>
        <scheme val="minor"/>
      </rPr>
      <t>1</t>
    </r>
    <r>
      <rPr>
        <i/>
        <sz val="10"/>
        <color theme="1"/>
        <rFont val="Calibri"/>
        <family val="2"/>
        <charset val="186"/>
        <scheme val="minor"/>
      </rPr>
      <t>2019 metams: užsakomi nuolatiniai ilgalaikiai (metų) pajėgumai; 2020 metams: visais nuolatinių pajėgumų produktais (įskaitant trumpalaikius produktus, kurių pajėgumai yra konvertuojami į metų pajėgumų ekvivalentą) užsakomi pajėgumai. Todėl pajėgumų pokyčiai 2020 m. (%) yra skaičiuojami, lyginant metų ekvivalento (2020 m. atveju) ir metų (2019 m. atveju) pajėgumus.</t>
    </r>
  </si>
  <si>
    <t>* 2019 metams: 74,29 EUR yra vidutinė kaina palyginimo (su kitu tarifų periodu) tikslais, kai iš tikrųjų kainos buvo diferencijuojamos dvejoms sistemos naudotojų grupėms (&lt;= 10,4 TWh/metus (kaina: 101,60 EUR/MWh/parą/metus) ir &gt; 10,4 TWh/metus į vieną gamtinių dujų pristatymo vietą (kaina: 47.29 EUR/MWh/parą/metus)) ir taip pat galėjo padengti ne tik Pagrindinio tinklo, bet taip pat ir Lokalaus tinklo sąnaudas. Nuo 2020 m. pajėgumu grindžiamos kainos atspindi tik leidžiamųjų pajamų dalį, susijusią su Pagrindinio tinklo paslaugomis.</t>
  </si>
  <si>
    <r>
      <t xml:space="preserve">Leidžiamosios pajamos (LP) </t>
    </r>
    <r>
      <rPr>
        <i/>
        <sz val="9"/>
        <color theme="1"/>
        <rFont val="Calibri"/>
        <family val="2"/>
        <charset val="186"/>
        <scheme val="minor"/>
      </rPr>
      <t>(kaip įveretinta 2019/2020 m. kainų skaičiavime)</t>
    </r>
    <r>
      <rPr>
        <sz val="10"/>
        <color theme="1"/>
        <rFont val="Calibri"/>
        <family val="2"/>
        <charset val="186"/>
        <scheme val="minor"/>
      </rPr>
      <t>:</t>
    </r>
  </si>
  <si>
    <r>
      <t xml:space="preserve">Įleidimo / išleidimo pajamų proporcija </t>
    </r>
    <r>
      <rPr>
        <sz val="10"/>
        <color theme="1"/>
        <rFont val="Calibri"/>
        <family val="2"/>
        <charset val="186"/>
        <scheme val="minor"/>
      </rPr>
      <t xml:space="preserve">(angl. </t>
    </r>
    <r>
      <rPr>
        <i/>
        <sz val="10"/>
        <color theme="1"/>
        <rFont val="Calibri"/>
        <family val="2"/>
        <charset val="186"/>
        <scheme val="minor"/>
      </rPr>
      <t>Entry/Exit split</t>
    </r>
    <r>
      <rPr>
        <sz val="10"/>
        <color theme="1"/>
        <rFont val="Calibri"/>
        <family val="2"/>
        <charset val="186"/>
        <scheme val="minor"/>
      </rPr>
      <t>) (pradinė/kaip įvesties parametras)</t>
    </r>
  </si>
  <si>
    <r>
      <t xml:space="preserve">Įleidimo / išleidimo pajamų proporcija </t>
    </r>
    <r>
      <rPr>
        <sz val="10"/>
        <color theme="1"/>
        <rFont val="Calibri"/>
        <family val="2"/>
        <charset val="186"/>
        <scheme val="minor"/>
      </rPr>
      <t xml:space="preserve">(angl. </t>
    </r>
    <r>
      <rPr>
        <i/>
        <sz val="10"/>
        <color theme="1"/>
        <rFont val="Calibri"/>
        <family val="2"/>
        <charset val="186"/>
        <scheme val="minor"/>
      </rPr>
      <t>Entry/Exit split</t>
    </r>
    <r>
      <rPr>
        <sz val="10"/>
        <color theme="1"/>
        <rFont val="Calibri"/>
        <family val="2"/>
        <charset val="186"/>
        <scheme val="minor"/>
      </rPr>
      <t>) (kaip Referencinės kainų metodikos (RKM) taikymo rezultatas)</t>
    </r>
  </si>
  <si>
    <r>
      <t xml:space="preserve">Pajėgumų / kiekio pajamų proporcija </t>
    </r>
    <r>
      <rPr>
        <sz val="10"/>
        <color theme="1"/>
        <rFont val="Calibri"/>
        <family val="2"/>
        <charset val="186"/>
        <scheme val="minor"/>
      </rPr>
      <t xml:space="preserve">(angl. </t>
    </r>
    <r>
      <rPr>
        <i/>
        <sz val="10"/>
        <color theme="1"/>
        <rFont val="Calibri"/>
        <family val="2"/>
        <charset val="186"/>
        <scheme val="minor"/>
      </rPr>
      <t>Capacity/commodity split</t>
    </r>
    <r>
      <rPr>
        <sz val="10"/>
        <color theme="1"/>
        <rFont val="Calibri"/>
        <family val="2"/>
        <charset val="186"/>
        <scheme val="minor"/>
      </rPr>
      <t>)</t>
    </r>
    <r>
      <rPr>
        <b/>
        <sz val="10"/>
        <color theme="1"/>
        <rFont val="Calibri"/>
        <family val="2"/>
        <charset val="238"/>
        <scheme val="minor"/>
      </rPr>
      <t xml:space="preserve"> </t>
    </r>
    <r>
      <rPr>
        <i/>
        <sz val="9"/>
        <color theme="1"/>
        <rFont val="Calibri"/>
        <family val="2"/>
        <charset val="186"/>
        <scheme val="minor"/>
      </rPr>
      <t>(2019 m. - bendra, nuo 2020 m. - tik už Pagrindinį tinklą)</t>
    </r>
  </si>
  <si>
    <t>Referencinės kainos (už nuolatinius metų pajėgumų produktus), dujų kiekiu grindžiamos kainos (kainos už kiekį) ir kainos už vartojimo pajėgumus</t>
  </si>
  <si>
    <t xml:space="preserve">iš jų priskirta Pagrindiniam tinklui </t>
  </si>
  <si>
    <t xml:space="preserve">iš jų priskirta Lokaliam tinklui </t>
  </si>
  <si>
    <r>
      <t>Reguliavimo sąskaitos priskyrimas Pagrindiniam ir Lokaliam tinklams</t>
    </r>
    <r>
      <rPr>
        <sz val="10"/>
        <color theme="1"/>
        <rFont val="Calibri"/>
        <family val="2"/>
        <charset val="186"/>
        <scheme val="minor"/>
      </rPr>
      <t>:</t>
    </r>
  </si>
  <si>
    <t>DAUGIKLIAI, SEZONINIAI KOEFICIENTAI, DIENŲ SKAIČIUS PAGAL PERIODUS:</t>
  </si>
  <si>
    <t>SUPAPRASTINTAS 2020 M. KAINŲ SKAIČIAVIMO MODELIS</t>
  </si>
  <si>
    <t>Kaip reikalaujama pagal TAR NC 30(2)(b) str.</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</si>
</sst>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 _€_-;\-* #,##0.00\ _€_-;_-* &quot;-&quot;??\ _€_-;_-@_-"/>
    <numFmt numFmtId="164" formatCode="#,##0\ _z_ł"/>
    <numFmt numFmtId="165" formatCode="_-* #,##0\ _z_ł_-;\-* #,##0\ _z_ł_-;_-* &quot;-&quot;??\ _z_ł_-;_-@_-"/>
    <numFmt numFmtId="166" formatCode="_-* #,##0.0000\ _z_ł_-;\-* #,##0.0000\ _z_ł_-;_-* &quot;-&quot;??\ _z_ł_-;_-@_-"/>
    <numFmt numFmtId="167" formatCode="0.0%"/>
    <numFmt numFmtId="168" formatCode="#,##0.000"/>
    <numFmt numFmtId="169" formatCode="#,##0.0000"/>
    <numFmt numFmtId="170" formatCode="#,##0.00000000"/>
    <numFmt numFmtId="171" formatCode="0.000%"/>
    <numFmt numFmtId="172" formatCode="0.0000%"/>
    <numFmt numFmtId="173" formatCode="0.00000%"/>
    <numFmt numFmtId="174" formatCode="0.0000"/>
    <numFmt numFmtId="175" formatCode="#,##0.00\ _z_ł"/>
    <numFmt numFmtId="176" formatCode="#,##0.0"/>
    <numFmt numFmtId="177" formatCode="#,##0.00000000\ _z_ł"/>
  </numFmts>
  <fonts count="52"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scheme val="minor"/>
    </font>
    <font>
      <sz val="11"/>
      <color theme="1"/>
      <name val="Calibri"/>
      <family val="2"/>
      <charset val="238"/>
      <scheme val="minor"/>
    </font>
    <font>
      <b/>
      <sz val="12"/>
      <color theme="0"/>
      <name val="Calibri"/>
      <family val="2"/>
      <charset val="238"/>
      <scheme val="minor"/>
    </font>
    <font>
      <b/>
      <sz val="10"/>
      <color theme="1"/>
      <name val="Calibri"/>
      <family val="2"/>
      <charset val="238"/>
      <scheme val="minor"/>
    </font>
    <font>
      <sz val="10"/>
      <color theme="1"/>
      <name val="Calibri"/>
      <family val="2"/>
      <charset val="238"/>
      <scheme val="minor"/>
    </font>
    <font>
      <sz val="10"/>
      <name val="Arial"/>
      <family val="2"/>
      <charset val="238"/>
    </font>
    <font>
      <sz val="10"/>
      <color theme="1"/>
      <name val="Arial"/>
      <family val="2"/>
      <charset val="238"/>
    </font>
    <font>
      <sz val="10"/>
      <color theme="1"/>
      <name val="Calibri"/>
      <family val="2"/>
      <charset val="186"/>
    </font>
    <font>
      <sz val="12"/>
      <color theme="1"/>
      <name val="Calibri"/>
      <family val="2"/>
      <charset val="186"/>
    </font>
    <font>
      <sz val="10"/>
      <color theme="1"/>
      <name val="Calibri"/>
      <family val="2"/>
      <charset val="186"/>
      <scheme val="minor"/>
    </font>
    <font>
      <i/>
      <sz val="10"/>
      <color theme="1"/>
      <name val="Calibri"/>
      <family val="2"/>
      <charset val="186"/>
      <scheme val="minor"/>
    </font>
    <font>
      <b/>
      <sz val="18"/>
      <color theme="1"/>
      <name val="Calibri"/>
      <family val="2"/>
      <charset val="186"/>
    </font>
    <font>
      <b/>
      <sz val="10"/>
      <color theme="1"/>
      <name val="Calibri"/>
      <family val="2"/>
      <charset val="186"/>
      <scheme val="minor"/>
    </font>
    <font>
      <i/>
      <sz val="9"/>
      <color theme="1"/>
      <name val="Calibri"/>
      <family val="2"/>
      <charset val="186"/>
      <scheme val="minor"/>
    </font>
    <font>
      <vertAlign val="superscript"/>
      <sz val="10"/>
      <color theme="1"/>
      <name val="Calibri"/>
      <family val="2"/>
      <charset val="186"/>
      <scheme val="minor"/>
    </font>
    <font>
      <i/>
      <vertAlign val="superscript"/>
      <sz val="10"/>
      <color theme="1"/>
      <name val="Calibri"/>
      <family val="2"/>
      <charset val="186"/>
      <scheme val="minor"/>
    </font>
    <font>
      <i/>
      <sz val="10"/>
      <color theme="9" tint="-0.249977111117893"/>
      <name val="Calibri"/>
      <family val="2"/>
      <charset val="186"/>
      <scheme val="minor"/>
    </font>
    <font>
      <b/>
      <vertAlign val="superscript"/>
      <sz val="10"/>
      <color theme="1"/>
      <name val="Calibri"/>
      <family val="2"/>
      <charset val="186"/>
      <scheme val="minor"/>
    </font>
    <font>
      <sz val="10"/>
      <color rgb="FFFF0000"/>
      <name val="Calibri"/>
      <family val="2"/>
      <scheme val="minor"/>
    </font>
    <font>
      <i/>
      <sz val="10"/>
      <color rgb="FF0070C0"/>
      <name val="Calibri"/>
      <family val="2"/>
      <charset val="186"/>
      <scheme val="minor"/>
    </font>
    <font>
      <sz val="9"/>
      <color theme="2" tint="-0.499984740745262"/>
      <name val="Calibri"/>
      <family val="2"/>
      <charset val="186"/>
      <scheme val="minor"/>
    </font>
    <font>
      <sz val="9"/>
      <color theme="2" tint="-0.499984740745262"/>
      <name val="Calibri"/>
      <family val="2"/>
      <charset val="238"/>
      <scheme val="minor"/>
    </font>
    <font>
      <b/>
      <sz val="11"/>
      <color rgb="FFFF0000"/>
      <name val="Calibri"/>
      <family val="2"/>
      <charset val="186"/>
      <scheme val="minor"/>
    </font>
    <font>
      <i/>
      <sz val="10"/>
      <color rgb="FFFF0000"/>
      <name val="Calibri"/>
      <family val="2"/>
      <charset val="186"/>
      <scheme val="minor"/>
    </font>
    <font>
      <sz val="11"/>
      <color rgb="FFFF0000"/>
      <name val="Calibri"/>
      <family val="2"/>
      <scheme val="minor"/>
    </font>
    <font>
      <i/>
      <sz val="10"/>
      <color rgb="FF36609A"/>
      <name val="Calibri"/>
      <family val="2"/>
      <charset val="186"/>
      <scheme val="minor"/>
    </font>
    <font>
      <b/>
      <i/>
      <sz val="10"/>
      <color rgb="FF0070C0"/>
      <name val="Calibri"/>
      <family val="2"/>
      <charset val="186"/>
      <scheme val="minor"/>
    </font>
    <font>
      <sz val="10"/>
      <name val="Arial"/>
      <family val="2"/>
      <charset val="186"/>
    </font>
    <font>
      <i/>
      <sz val="11"/>
      <color theme="1"/>
      <name val="Calibri"/>
      <family val="2"/>
      <charset val="186"/>
      <scheme val="minor"/>
    </font>
    <font>
      <i/>
      <sz val="10"/>
      <color theme="0" tint="-0.499984740745262"/>
      <name val="Calibri"/>
      <family val="2"/>
      <charset val="186"/>
      <scheme val="minor"/>
    </font>
    <font>
      <i/>
      <vertAlign val="superscript"/>
      <sz val="10"/>
      <color theme="0" tint="-0.499984740745262"/>
      <name val="Calibri"/>
      <family val="2"/>
      <charset val="186"/>
      <scheme val="minor"/>
    </font>
    <font>
      <b/>
      <i/>
      <sz val="10"/>
      <color theme="0" tint="-0.499984740745262"/>
      <name val="Calibri"/>
      <family val="2"/>
      <charset val="186"/>
      <scheme val="minor"/>
    </font>
    <font>
      <i/>
      <sz val="10"/>
      <color theme="1"/>
      <name val="Calibri"/>
      <family val="2"/>
      <charset val="238"/>
      <scheme val="minor"/>
    </font>
    <font>
      <i/>
      <sz val="10"/>
      <color rgb="FF000000"/>
      <name val="Calibri"/>
      <family val="2"/>
      <charset val="186"/>
      <scheme val="minor"/>
    </font>
    <font>
      <i/>
      <vertAlign val="superscript"/>
      <sz val="10"/>
      <color rgb="FF000000"/>
      <name val="Calibri"/>
      <family val="2"/>
      <charset val="186"/>
      <scheme val="minor"/>
    </font>
    <font>
      <i/>
      <sz val="11"/>
      <color theme="0" tint="-0.34998626667073579"/>
      <name val="Calibri"/>
      <family val="2"/>
      <charset val="186"/>
      <scheme val="minor"/>
    </font>
    <font>
      <i/>
      <sz val="10"/>
      <color theme="0" tint="-0.34998626667073579"/>
      <name val="Calibri"/>
      <family val="2"/>
      <charset val="186"/>
      <scheme val="minor"/>
    </font>
    <font>
      <sz val="10"/>
      <color theme="0" tint="-0.34998626667073579"/>
      <name val="Calibri"/>
      <family val="2"/>
      <charset val="186"/>
      <scheme val="minor"/>
    </font>
    <font>
      <i/>
      <sz val="9"/>
      <color theme="0" tint="-0.499984740745262"/>
      <name val="Calibri"/>
      <family val="2"/>
      <charset val="186"/>
      <scheme val="minor"/>
    </font>
    <font>
      <b/>
      <sz val="11"/>
      <color theme="1"/>
      <name val="Calibri"/>
      <family val="2"/>
      <charset val="186"/>
      <scheme val="minor"/>
    </font>
    <font>
      <b/>
      <sz val="18"/>
      <color theme="1"/>
      <name val="Calibri"/>
      <family val="2"/>
      <charset val="186"/>
      <scheme val="minor"/>
    </font>
    <font>
      <sz val="9"/>
      <color theme="0" tint="-0.499984740745262"/>
      <name val="Calibri"/>
      <family val="2"/>
      <charset val="186"/>
      <scheme val="minor"/>
    </font>
  </fonts>
  <fills count="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9" tint="-0.249977111117893"/>
      </left>
      <right/>
      <top style="medium">
        <color theme="9" tint="-0.249977111117893"/>
      </top>
      <bottom/>
      <diagonal/>
    </border>
    <border>
      <left/>
      <right/>
      <top style="medium">
        <color theme="9" tint="-0.249977111117893"/>
      </top>
      <bottom/>
      <diagonal/>
    </border>
    <border>
      <left style="medium">
        <color theme="9" tint="-0.249977111117893"/>
      </left>
      <right/>
      <top/>
      <bottom/>
      <diagonal/>
    </border>
    <border>
      <left style="medium">
        <color theme="9" tint="-0.249977111117893"/>
      </left>
      <right/>
      <top/>
      <bottom style="medium">
        <color theme="9" tint="-0.249977111117893"/>
      </bottom>
      <diagonal/>
    </border>
    <border>
      <left/>
      <right/>
      <top/>
      <bottom style="medium">
        <color theme="9" tint="-0.249977111117893"/>
      </bottom>
      <diagonal/>
    </border>
    <border>
      <left style="thin">
        <color indexed="64"/>
      </left>
      <right/>
      <top/>
      <bottom style="thin">
        <color indexed="64"/>
      </bottom>
      <diagonal/>
    </border>
    <border>
      <left style="medium">
        <color rgb="FFF5862B"/>
      </left>
      <right/>
      <top/>
      <bottom/>
      <diagonal/>
    </border>
    <border>
      <left/>
      <right style="medium">
        <color rgb="FFF5862B"/>
      </right>
      <top style="thin">
        <color indexed="64"/>
      </top>
      <bottom style="thin">
        <color indexed="64"/>
      </bottom>
      <diagonal/>
    </border>
    <border>
      <left style="thin">
        <color indexed="64"/>
      </left>
      <right style="medium">
        <color rgb="FFF5862B"/>
      </right>
      <top style="thin">
        <color indexed="64"/>
      </top>
      <bottom style="thin">
        <color indexed="64"/>
      </bottom>
      <diagonal/>
    </border>
    <border>
      <left style="thin">
        <color indexed="64"/>
      </left>
      <right style="thin">
        <color indexed="64"/>
      </right>
      <top style="thin">
        <color indexed="64"/>
      </top>
      <bottom style="medium">
        <color rgb="FFF5862B"/>
      </bottom>
      <diagonal/>
    </border>
    <border>
      <left style="thin">
        <color indexed="64"/>
      </left>
      <right style="medium">
        <color rgb="FFF5862B"/>
      </right>
      <top style="thin">
        <color indexed="64"/>
      </top>
      <bottom style="medium">
        <color rgb="FFF5862B"/>
      </bottom>
      <diagonal/>
    </border>
    <border>
      <left style="thin">
        <color indexed="64"/>
      </left>
      <right/>
      <top/>
      <bottom/>
      <diagonal/>
    </border>
    <border>
      <left style="thin">
        <color indexed="64"/>
      </left>
      <right style="thin">
        <color indexed="64"/>
      </right>
      <top style="thin">
        <color indexed="64"/>
      </top>
      <bottom style="medium">
        <color theme="9" tint="-0.249977111117893"/>
      </bottom>
      <diagonal/>
    </border>
    <border>
      <left style="thin">
        <color indexed="64"/>
      </left>
      <right style="medium">
        <color theme="9" tint="-0.249977111117893"/>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9" tint="-0.249977111117893"/>
      </left>
      <right style="thin">
        <color indexed="64"/>
      </right>
      <top style="thin">
        <color indexed="64"/>
      </top>
      <bottom style="thin">
        <color indexed="64"/>
      </bottom>
      <diagonal/>
    </border>
    <border>
      <left style="thin">
        <color indexed="64"/>
      </left>
      <right style="medium">
        <color theme="9" tint="-0.249977111117893"/>
      </right>
      <top style="thin">
        <color indexed="64"/>
      </top>
      <bottom style="medium">
        <color rgb="FFF5862B"/>
      </bottom>
      <diagonal/>
    </border>
    <border>
      <left style="medium">
        <color theme="9" tint="-0.249977111117893"/>
      </left>
      <right style="thin">
        <color indexed="64"/>
      </right>
      <top style="thin">
        <color indexed="64"/>
      </top>
      <bottom style="medium">
        <color rgb="FFF5862B"/>
      </bottom>
      <diagonal/>
    </border>
    <border>
      <left style="thin">
        <color indexed="64"/>
      </left>
      <right/>
      <top style="thin">
        <color indexed="64"/>
      </top>
      <bottom style="medium">
        <color rgb="FFF5862B"/>
      </bottom>
      <diagonal/>
    </border>
    <border>
      <left/>
      <right style="thin">
        <color indexed="64"/>
      </right>
      <top/>
      <bottom/>
      <diagonal/>
    </border>
    <border>
      <left/>
      <right style="thin">
        <color indexed="64"/>
      </right>
      <top/>
      <bottom style="medium">
        <color theme="9" tint="-0.249977111117893"/>
      </bottom>
      <diagonal/>
    </border>
    <border>
      <left/>
      <right style="medium">
        <color theme="9" tint="-0.249977111117893"/>
      </right>
      <top/>
      <bottom/>
      <diagonal/>
    </border>
    <border>
      <left/>
      <right style="medium">
        <color theme="9" tint="-0.249977111117893"/>
      </right>
      <top style="thin">
        <color indexed="64"/>
      </top>
      <bottom style="thin">
        <color indexed="64"/>
      </bottom>
      <diagonal/>
    </border>
    <border>
      <left style="thin">
        <color indexed="64"/>
      </left>
      <right style="medium">
        <color theme="9" tint="-0.249977111117893"/>
      </right>
      <top style="thin">
        <color indexed="64"/>
      </top>
      <bottom/>
      <diagonal/>
    </border>
    <border>
      <left/>
      <right style="thin">
        <color indexed="64"/>
      </right>
      <top style="thin">
        <color indexed="64"/>
      </top>
      <bottom style="medium">
        <color rgb="FFF5862B"/>
      </bottom>
      <diagonal/>
    </border>
    <border>
      <left style="thin">
        <color indexed="64"/>
      </left>
      <right style="medium">
        <color theme="9" tint="-0.249977111117893"/>
      </right>
      <top/>
      <bottom/>
      <diagonal/>
    </border>
    <border>
      <left style="thin">
        <color indexed="64"/>
      </left>
      <right style="medium">
        <color theme="9" tint="-0.249977111117893"/>
      </right>
      <top/>
      <bottom style="thin">
        <color indexed="64"/>
      </bottom>
      <diagonal/>
    </border>
    <border>
      <left style="medium">
        <color rgb="FFF5862B"/>
      </left>
      <right/>
      <top style="thin">
        <color indexed="64"/>
      </top>
      <bottom style="thin">
        <color indexed="64"/>
      </bottom>
      <diagonal/>
    </border>
    <border>
      <left style="medium">
        <color theme="9" tint="-0.249977111117893"/>
      </left>
      <right/>
      <top style="thin">
        <color indexed="64"/>
      </top>
      <bottom style="thin">
        <color indexed="64"/>
      </bottom>
      <diagonal/>
    </border>
    <border>
      <left style="medium">
        <color rgb="FFF5862B"/>
      </left>
      <right style="thin">
        <color indexed="64"/>
      </right>
      <top/>
      <bottom style="medium">
        <color theme="9" tint="-0.249977111117893"/>
      </bottom>
      <diagonal/>
    </border>
    <border>
      <left/>
      <right style="thin">
        <color theme="9" tint="-0.249977111117893"/>
      </right>
      <top style="medium">
        <color theme="9" tint="-0.249977111117893"/>
      </top>
      <bottom/>
      <diagonal/>
    </border>
    <border>
      <left/>
      <right style="thin">
        <color theme="9" tint="-0.249977111117893"/>
      </right>
      <top/>
      <bottom/>
      <diagonal/>
    </border>
    <border>
      <left style="thin">
        <color indexed="64"/>
      </left>
      <right style="thin">
        <color theme="9" tint="-0.249977111117893"/>
      </right>
      <top style="thin">
        <color indexed="64"/>
      </top>
      <bottom style="thin">
        <color indexed="64"/>
      </bottom>
      <diagonal/>
    </border>
    <border>
      <left style="thin">
        <color indexed="64"/>
      </left>
      <right style="thin">
        <color theme="9" tint="-0.249977111117893"/>
      </right>
      <top style="thin">
        <color indexed="64"/>
      </top>
      <bottom style="medium">
        <color theme="9" tint="-0.249977111117893"/>
      </bottom>
      <diagonal/>
    </border>
  </borders>
  <cellStyleXfs count="14">
    <xf numFmtId="0" fontId="0" fillId="0" borderId="0"/>
    <xf numFmtId="43" fontId="10" fillId="0" borderId="0" applyFont="0" applyFill="0" applyBorder="0" applyAlignment="0" applyProtection="0"/>
    <xf numFmtId="9" fontId="10" fillId="0" borderId="0" applyFont="0" applyFill="0" applyBorder="0" applyAlignment="0" applyProtection="0"/>
    <xf numFmtId="0" fontId="15" fillId="0" borderId="0"/>
    <xf numFmtId="0" fontId="16" fillId="0" borderId="0"/>
    <xf numFmtId="0" fontId="9" fillId="0" borderId="0"/>
    <xf numFmtId="0" fontId="8" fillId="0" borderId="0"/>
    <xf numFmtId="9" fontId="8" fillId="0" borderId="0" applyFont="0" applyFill="0" applyBorder="0" applyAlignment="0" applyProtection="0"/>
    <xf numFmtId="0" fontId="37" fillId="0" borderId="0"/>
    <xf numFmtId="0" fontId="37" fillId="0" borderId="0"/>
    <xf numFmtId="0" fontId="7" fillId="0" borderId="0"/>
    <xf numFmtId="0" fontId="6" fillId="0" borderId="0"/>
    <xf numFmtId="0" fontId="5" fillId="0" borderId="0"/>
    <xf numFmtId="0" fontId="4" fillId="0" borderId="0"/>
  </cellStyleXfs>
  <cellXfs count="377">
    <xf numFmtId="0" fontId="0" fillId="0" borderId="0" xfId="0"/>
    <xf numFmtId="0" fontId="11" fillId="0" borderId="0" xfId="0" applyFont="1" applyBorder="1" applyAlignment="1" applyProtection="1">
      <alignment horizontal="center"/>
    </xf>
    <xf numFmtId="0" fontId="11" fillId="0" borderId="0" xfId="0" applyFont="1" applyBorder="1" applyProtection="1"/>
    <xf numFmtId="0" fontId="11" fillId="0" borderId="0" xfId="0" applyFont="1" applyFill="1" applyBorder="1" applyProtection="1"/>
    <xf numFmtId="0" fontId="17" fillId="4" borderId="0" xfId="4" applyFont="1" applyFill="1"/>
    <xf numFmtId="164" fontId="12" fillId="5" borderId="0" xfId="0" applyNumberFormat="1" applyFont="1" applyFill="1" applyBorder="1" applyAlignment="1" applyProtection="1">
      <alignment horizontal="center" vertical="center"/>
    </xf>
    <xf numFmtId="3" fontId="14" fillId="3" borderId="1" xfId="2" applyNumberFormat="1" applyFont="1" applyFill="1" applyBorder="1" applyAlignment="1" applyProtection="1">
      <alignment horizontal="right" vertical="center"/>
    </xf>
    <xf numFmtId="0" fontId="20" fillId="3" borderId="0" xfId="0" applyFont="1" applyFill="1" applyBorder="1" applyAlignment="1" applyProtection="1">
      <alignment horizontal="right" vertical="center" wrapText="1"/>
    </xf>
    <xf numFmtId="3" fontId="0" fillId="0" borderId="0" xfId="0" applyNumberFormat="1"/>
    <xf numFmtId="3" fontId="14" fillId="4" borderId="0" xfId="2" applyNumberFormat="1" applyFont="1" applyFill="1" applyBorder="1" applyAlignment="1" applyProtection="1">
      <alignment horizontal="right" vertical="center"/>
    </xf>
    <xf numFmtId="0" fontId="26" fillId="0" borderId="0" xfId="0" applyFont="1" applyBorder="1" applyProtection="1"/>
    <xf numFmtId="3" fontId="20" fillId="3" borderId="1" xfId="2" applyNumberFormat="1" applyFont="1" applyFill="1" applyBorder="1" applyAlignment="1" applyProtection="1">
      <alignment horizontal="right" vertical="center"/>
    </xf>
    <xf numFmtId="0" fontId="19" fillId="2" borderId="0" xfId="0" applyFont="1" applyFill="1" applyBorder="1" applyAlignment="1" applyProtection="1">
      <alignment horizontal="center" vertical="center"/>
    </xf>
    <xf numFmtId="0" fontId="19" fillId="3" borderId="0"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xf>
    <xf numFmtId="0" fontId="14" fillId="3" borderId="0"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14" fillId="0" borderId="0" xfId="0" applyFont="1" applyBorder="1" applyAlignment="1" applyProtection="1">
      <alignment horizontal="center" vertical="center"/>
    </xf>
    <xf numFmtId="0" fontId="20" fillId="3" borderId="0" xfId="0" applyFont="1" applyFill="1" applyBorder="1" applyAlignment="1" applyProtection="1">
      <alignment horizontal="center" vertical="center"/>
    </xf>
    <xf numFmtId="0" fontId="14" fillId="4" borderId="0"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3" fillId="4" borderId="0" xfId="0" applyFont="1" applyFill="1" applyBorder="1" applyAlignment="1" applyProtection="1">
      <alignment horizontal="left" vertical="center" wrapText="1"/>
    </xf>
    <xf numFmtId="0" fontId="18" fillId="4" borderId="0" xfId="3" applyFont="1" applyFill="1" applyAlignment="1">
      <alignment vertical="center"/>
    </xf>
    <xf numFmtId="0" fontId="17" fillId="4" borderId="0" xfId="3" applyFont="1" applyFill="1" applyAlignment="1"/>
    <xf numFmtId="0" fontId="20" fillId="4" borderId="0" xfId="0" applyFont="1" applyFill="1" applyBorder="1" applyAlignment="1" applyProtection="1">
      <alignment horizontal="center" vertical="center"/>
    </xf>
    <xf numFmtId="0" fontId="19" fillId="3" borderId="0" xfId="0" applyFont="1" applyFill="1" applyBorder="1" applyAlignment="1" applyProtection="1">
      <alignment horizontal="left" vertical="center" wrapText="1"/>
    </xf>
    <xf numFmtId="3" fontId="17" fillId="0" borderId="0" xfId="4" applyNumberFormat="1" applyFont="1" applyFill="1" applyBorder="1"/>
    <xf numFmtId="0" fontId="0" fillId="0" borderId="0" xfId="0" applyAlignment="1">
      <alignment vertical="center"/>
    </xf>
    <xf numFmtId="164" fontId="13" fillId="2" borderId="0" xfId="0" applyNumberFormat="1" applyFont="1" applyFill="1" applyBorder="1" applyAlignment="1" applyProtection="1">
      <alignment horizontal="right" vertical="center"/>
    </xf>
    <xf numFmtId="165" fontId="14" fillId="0" borderId="0" xfId="1" applyNumberFormat="1" applyFont="1" applyFill="1" applyBorder="1" applyAlignment="1" applyProtection="1">
      <alignment vertical="center"/>
    </xf>
    <xf numFmtId="169" fontId="28" fillId="0" borderId="0" xfId="0" applyNumberFormat="1" applyFont="1"/>
    <xf numFmtId="0" fontId="13" fillId="2" borderId="0" xfId="0" applyFont="1" applyFill="1" applyBorder="1" applyAlignment="1" applyProtection="1">
      <alignment vertical="center"/>
    </xf>
    <xf numFmtId="0" fontId="19" fillId="3" borderId="0" xfId="0" applyFont="1" applyFill="1" applyBorder="1" applyAlignment="1" applyProtection="1">
      <alignment vertical="center"/>
    </xf>
    <xf numFmtId="0" fontId="19" fillId="4" borderId="0" xfId="0" applyFont="1" applyFill="1" applyBorder="1" applyAlignment="1" applyProtection="1">
      <alignment horizontal="left" vertical="center"/>
    </xf>
    <xf numFmtId="0" fontId="13" fillId="2" borderId="0" xfId="0" applyFont="1" applyFill="1" applyBorder="1" applyAlignment="1" applyProtection="1">
      <alignment horizontal="left" vertical="center"/>
    </xf>
    <xf numFmtId="0" fontId="19" fillId="3" borderId="0" xfId="0" applyFont="1" applyFill="1" applyBorder="1" applyAlignment="1" applyProtection="1">
      <alignment horizontal="left" vertical="center"/>
    </xf>
    <xf numFmtId="0" fontId="20" fillId="3" borderId="0" xfId="0" applyFont="1" applyFill="1" applyBorder="1" applyAlignment="1" applyProtection="1">
      <alignment horizontal="left" vertical="center"/>
    </xf>
    <xf numFmtId="3" fontId="30" fillId="0" borderId="0" xfId="0" applyNumberFormat="1" applyFont="1" applyFill="1" applyBorder="1" applyProtection="1"/>
    <xf numFmtId="0" fontId="31" fillId="0" borderId="0" xfId="0" applyFont="1" applyBorder="1" applyAlignment="1" applyProtection="1">
      <alignment horizontal="center"/>
    </xf>
    <xf numFmtId="164" fontId="14" fillId="0" borderId="0" xfId="0" applyNumberFormat="1" applyFont="1" applyFill="1" applyBorder="1" applyAlignment="1" applyProtection="1">
      <alignment horizontal="right" vertical="center"/>
    </xf>
    <xf numFmtId="164" fontId="14" fillId="4" borderId="0" xfId="0" applyNumberFormat="1" applyFont="1" applyFill="1" applyBorder="1" applyAlignment="1" applyProtection="1">
      <alignment horizontal="right" vertical="center"/>
    </xf>
    <xf numFmtId="164" fontId="19" fillId="0" borderId="0" xfId="0" applyNumberFormat="1" applyFont="1" applyFill="1" applyBorder="1" applyAlignment="1" applyProtection="1">
      <alignment horizontal="right" vertical="center"/>
    </xf>
    <xf numFmtId="0" fontId="20" fillId="4" borderId="0" xfId="0" applyFont="1" applyFill="1" applyBorder="1" applyAlignment="1" applyProtection="1">
      <alignment horizontal="right" vertical="center"/>
    </xf>
    <xf numFmtId="164" fontId="20" fillId="4" borderId="0" xfId="0" applyNumberFormat="1" applyFont="1" applyFill="1" applyBorder="1" applyAlignment="1" applyProtection="1">
      <alignment horizontal="right" vertical="center"/>
    </xf>
    <xf numFmtId="0" fontId="13" fillId="0" borderId="0" xfId="0" applyFont="1" applyFill="1" applyBorder="1" applyAlignment="1" applyProtection="1">
      <alignment vertical="center"/>
    </xf>
    <xf numFmtId="164" fontId="13" fillId="0" borderId="0" xfId="0" applyNumberFormat="1" applyFont="1" applyFill="1" applyBorder="1" applyAlignment="1" applyProtection="1">
      <alignment horizontal="right" vertical="center"/>
    </xf>
    <xf numFmtId="0" fontId="14" fillId="3" borderId="0" xfId="0" applyFont="1" applyFill="1" applyBorder="1" applyAlignment="1" applyProtection="1">
      <alignment vertical="center"/>
    </xf>
    <xf numFmtId="9" fontId="14" fillId="0" borderId="0" xfId="2" applyFont="1" applyFill="1" applyBorder="1" applyAlignment="1" applyProtection="1">
      <alignment vertical="center"/>
    </xf>
    <xf numFmtId="0" fontId="14" fillId="4" borderId="0" xfId="0" applyFont="1" applyFill="1" applyBorder="1" applyAlignment="1" applyProtection="1">
      <alignment vertical="center"/>
    </xf>
    <xf numFmtId="9" fontId="14" fillId="4" borderId="0" xfId="2" applyFont="1" applyFill="1" applyBorder="1" applyAlignment="1" applyProtection="1">
      <alignment vertical="center"/>
    </xf>
    <xf numFmtId="9" fontId="13" fillId="0" borderId="0" xfId="2" applyFont="1" applyFill="1" applyBorder="1" applyAlignment="1" applyProtection="1">
      <alignment vertical="center"/>
    </xf>
    <xf numFmtId="9" fontId="13" fillId="2" borderId="0" xfId="2" applyFont="1" applyFill="1" applyBorder="1" applyAlignment="1" applyProtection="1">
      <alignment vertical="center"/>
    </xf>
    <xf numFmtId="0" fontId="14" fillId="0" borderId="0" xfId="0" applyFont="1" applyFill="1" applyBorder="1" applyAlignment="1" applyProtection="1">
      <alignment vertical="center"/>
    </xf>
    <xf numFmtId="0" fontId="14" fillId="0" borderId="0" xfId="0" applyFont="1" applyBorder="1" applyAlignment="1" applyProtection="1">
      <alignment vertical="center"/>
    </xf>
    <xf numFmtId="164" fontId="19" fillId="4" borderId="0" xfId="0" applyNumberFormat="1" applyFont="1" applyFill="1" applyBorder="1" applyAlignment="1" applyProtection="1">
      <alignment horizontal="right" vertical="center"/>
    </xf>
    <xf numFmtId="166" fontId="13" fillId="0" borderId="0" xfId="1" applyNumberFormat="1" applyFont="1" applyFill="1" applyBorder="1" applyAlignment="1" applyProtection="1">
      <alignment vertical="center"/>
    </xf>
    <xf numFmtId="166" fontId="13" fillId="4" borderId="0" xfId="1" applyNumberFormat="1" applyFont="1" applyFill="1" applyBorder="1" applyAlignment="1" applyProtection="1">
      <alignment vertical="center"/>
    </xf>
    <xf numFmtId="0" fontId="0" fillId="4" borderId="0" xfId="0" applyFill="1" applyAlignment="1">
      <alignment vertical="center"/>
    </xf>
    <xf numFmtId="0" fontId="13" fillId="2" borderId="0" xfId="0" applyFont="1" applyFill="1" applyBorder="1" applyAlignment="1" applyProtection="1">
      <alignment horizontal="left" vertical="center" wrapText="1"/>
    </xf>
    <xf numFmtId="0" fontId="19" fillId="3" borderId="0" xfId="0" applyFont="1" applyFill="1" applyBorder="1" applyAlignment="1" applyProtection="1">
      <alignment horizontal="right" vertical="center"/>
    </xf>
    <xf numFmtId="0" fontId="20" fillId="3" borderId="0" xfId="0" applyFont="1" applyFill="1" applyBorder="1" applyAlignment="1" applyProtection="1">
      <alignment horizontal="right"/>
    </xf>
    <xf numFmtId="164" fontId="20" fillId="0" borderId="0" xfId="0" applyNumberFormat="1" applyFont="1" applyFill="1" applyBorder="1" applyAlignment="1" applyProtection="1">
      <alignment horizontal="right"/>
    </xf>
    <xf numFmtId="166" fontId="13" fillId="0" borderId="0" xfId="1" applyNumberFormat="1" applyFont="1" applyFill="1" applyBorder="1" applyProtection="1"/>
    <xf numFmtId="165" fontId="14" fillId="4" borderId="0" xfId="1" applyNumberFormat="1" applyFont="1" applyFill="1" applyBorder="1" applyAlignment="1" applyProtection="1">
      <alignment vertical="center"/>
    </xf>
    <xf numFmtId="3" fontId="14" fillId="3" borderId="1" xfId="2" applyNumberFormat="1" applyFont="1" applyFill="1" applyBorder="1" applyAlignment="1" applyProtection="1">
      <alignment horizontal="right" vertical="center" wrapText="1"/>
    </xf>
    <xf numFmtId="3" fontId="22" fillId="2" borderId="1" xfId="2" applyNumberFormat="1" applyFont="1" applyFill="1" applyBorder="1" applyAlignment="1" applyProtection="1">
      <alignment horizontal="right" vertical="center"/>
      <protection hidden="1"/>
    </xf>
    <xf numFmtId="3" fontId="22" fillId="3" borderId="1" xfId="2" applyNumberFormat="1" applyFont="1" applyFill="1" applyBorder="1" applyAlignment="1" applyProtection="1">
      <alignment horizontal="right" vertical="center"/>
    </xf>
    <xf numFmtId="0" fontId="13" fillId="2" borderId="0" xfId="0" applyFont="1" applyFill="1" applyBorder="1" applyAlignment="1" applyProtection="1">
      <alignment horizontal="left" vertical="center" wrapText="1"/>
    </xf>
    <xf numFmtId="4" fontId="30" fillId="0" borderId="0" xfId="0" applyNumberFormat="1" applyFont="1"/>
    <xf numFmtId="9" fontId="14" fillId="3" borderId="1" xfId="2" applyNumberFormat="1" applyFont="1" applyFill="1" applyBorder="1" applyAlignment="1" applyProtection="1">
      <alignment horizontal="right" vertical="center"/>
    </xf>
    <xf numFmtId="10" fontId="0" fillId="0" borderId="0" xfId="2" applyNumberFormat="1" applyFont="1"/>
    <xf numFmtId="3" fontId="19" fillId="3" borderId="1" xfId="2" applyNumberFormat="1" applyFont="1" applyFill="1" applyBorder="1" applyAlignment="1" applyProtection="1">
      <alignment horizontal="right" vertical="center"/>
    </xf>
    <xf numFmtId="0" fontId="22" fillId="2" borderId="0" xfId="0" applyFont="1" applyFill="1" applyBorder="1" applyAlignment="1" applyProtection="1">
      <alignment vertical="center"/>
    </xf>
    <xf numFmtId="173" fontId="0" fillId="0" borderId="0" xfId="2" applyNumberFormat="1" applyFont="1"/>
    <xf numFmtId="0" fontId="13" fillId="2" borderId="6" xfId="0" applyFont="1" applyFill="1" applyBorder="1" applyAlignment="1" applyProtection="1">
      <alignment horizontal="left" vertical="center"/>
    </xf>
    <xf numFmtId="0" fontId="13" fillId="2" borderId="7" xfId="0" applyFont="1" applyFill="1" applyBorder="1" applyAlignment="1" applyProtection="1">
      <alignment horizontal="center" vertical="center"/>
    </xf>
    <xf numFmtId="164" fontId="13" fillId="0" borderId="7" xfId="0" applyNumberFormat="1" applyFont="1" applyFill="1" applyBorder="1" applyAlignment="1" applyProtection="1">
      <alignment horizontal="right" vertical="center"/>
    </xf>
    <xf numFmtId="0" fontId="13" fillId="2" borderId="8" xfId="0" applyFont="1" applyFill="1" applyBorder="1" applyAlignment="1" applyProtection="1">
      <alignment horizontal="left" vertical="center"/>
    </xf>
    <xf numFmtId="0" fontId="19" fillId="3" borderId="8" xfId="0" applyFont="1" applyFill="1" applyBorder="1" applyAlignment="1" applyProtection="1">
      <alignment vertical="center"/>
    </xf>
    <xf numFmtId="0" fontId="18" fillId="4" borderId="0" xfId="3" applyFont="1" applyFill="1" applyAlignment="1">
      <alignment horizontal="left"/>
    </xf>
    <xf numFmtId="164" fontId="13" fillId="4" borderId="0" xfId="0" applyNumberFormat="1" applyFont="1" applyFill="1" applyBorder="1" applyAlignment="1" applyProtection="1">
      <alignment horizontal="right" vertical="center"/>
    </xf>
    <xf numFmtId="174" fontId="0" fillId="0" borderId="0" xfId="0" applyNumberFormat="1"/>
    <xf numFmtId="0" fontId="21" fillId="4" borderId="0" xfId="3" applyFont="1" applyFill="1" applyAlignment="1">
      <alignment horizontal="left" vertical="center"/>
    </xf>
    <xf numFmtId="0" fontId="0" fillId="2" borderId="0" xfId="0" applyFill="1"/>
    <xf numFmtId="0" fontId="18" fillId="4" borderId="0" xfId="3" applyFont="1" applyFill="1" applyAlignment="1">
      <alignment horizontal="left"/>
    </xf>
    <xf numFmtId="0" fontId="21" fillId="4" borderId="0" xfId="3" applyFont="1" applyFill="1" applyAlignment="1">
      <alignment horizontal="left" vertical="center"/>
    </xf>
    <xf numFmtId="0" fontId="19" fillId="3" borderId="1" xfId="0" applyNumberFormat="1" applyFont="1" applyFill="1" applyBorder="1" applyAlignment="1" applyProtection="1">
      <alignment horizontal="center" vertical="center"/>
    </xf>
    <xf numFmtId="164" fontId="19" fillId="2" borderId="1" xfId="0" applyNumberFormat="1" applyFont="1" applyFill="1" applyBorder="1" applyAlignment="1" applyProtection="1">
      <alignment horizontal="center" vertical="center" wrapText="1"/>
    </xf>
    <xf numFmtId="0" fontId="19" fillId="4" borderId="0" xfId="0" applyNumberFormat="1" applyFont="1" applyFill="1" applyBorder="1" applyAlignment="1" applyProtection="1">
      <alignment horizontal="left" vertical="center"/>
    </xf>
    <xf numFmtId="164" fontId="19" fillId="2" borderId="1" xfId="0" applyNumberFormat="1" applyFont="1" applyFill="1" applyBorder="1" applyAlignment="1" applyProtection="1">
      <alignment horizontal="center" vertical="center" wrapText="1"/>
    </xf>
    <xf numFmtId="0" fontId="19" fillId="3" borderId="0" xfId="0" applyNumberFormat="1" applyFont="1" applyFill="1" applyBorder="1" applyAlignment="1" applyProtection="1">
      <alignment horizontal="left" vertical="center"/>
    </xf>
    <xf numFmtId="0" fontId="19" fillId="3" borderId="0" xfId="0" applyNumberFormat="1" applyFont="1" applyFill="1" applyBorder="1" applyAlignment="1" applyProtection="1">
      <alignment horizontal="center" vertical="center"/>
    </xf>
    <xf numFmtId="0" fontId="19" fillId="4" borderId="0" xfId="0" applyNumberFormat="1" applyFont="1" applyFill="1" applyBorder="1" applyAlignment="1" applyProtection="1">
      <alignment horizontal="center" vertical="center"/>
    </xf>
    <xf numFmtId="0" fontId="22" fillId="2" borderId="0" xfId="0" applyFont="1" applyFill="1" applyBorder="1" applyAlignment="1" applyProtection="1">
      <alignment horizontal="left"/>
    </xf>
    <xf numFmtId="0" fontId="12" fillId="4" borderId="0" xfId="0" applyNumberFormat="1" applyFont="1" applyFill="1" applyBorder="1" applyAlignment="1" applyProtection="1">
      <alignment horizontal="center" vertical="center"/>
    </xf>
    <xf numFmtId="0" fontId="0" fillId="2" borderId="0" xfId="0" applyFill="1" applyBorder="1" applyAlignment="1">
      <alignment horizontal="left" vertical="center"/>
    </xf>
    <xf numFmtId="0" fontId="22" fillId="4" borderId="0" xfId="0" applyFont="1" applyFill="1" applyBorder="1" applyAlignment="1" applyProtection="1">
      <alignment horizontal="left"/>
    </xf>
    <xf numFmtId="0" fontId="0" fillId="4" borderId="0" xfId="0" applyFill="1" applyBorder="1" applyAlignment="1">
      <alignment horizontal="left" vertical="center"/>
    </xf>
    <xf numFmtId="2" fontId="19" fillId="4" borderId="0" xfId="0" applyNumberFormat="1" applyFont="1" applyFill="1" applyBorder="1" applyAlignment="1" applyProtection="1">
      <alignment horizontal="center" vertical="center"/>
    </xf>
    <xf numFmtId="0" fontId="19" fillId="4" borderId="0" xfId="0" applyNumberFormat="1" applyFont="1" applyFill="1" applyBorder="1" applyAlignment="1" applyProtection="1">
      <alignment vertical="center"/>
    </xf>
    <xf numFmtId="164" fontId="19" fillId="4" borderId="0" xfId="0" applyNumberFormat="1" applyFont="1" applyFill="1" applyBorder="1" applyAlignment="1" applyProtection="1">
      <alignment vertical="center"/>
    </xf>
    <xf numFmtId="164" fontId="19" fillId="4" borderId="0" xfId="0" applyNumberFormat="1" applyFont="1" applyFill="1" applyBorder="1" applyAlignment="1" applyProtection="1">
      <alignment horizontal="center" vertical="center"/>
    </xf>
    <xf numFmtId="0" fontId="19" fillId="3" borderId="1" xfId="0" applyNumberFormat="1" applyFont="1" applyFill="1" applyBorder="1" applyAlignment="1" applyProtection="1">
      <alignment horizontal="center" vertical="center" wrapText="1"/>
    </xf>
    <xf numFmtId="2" fontId="19" fillId="3" borderId="1" xfId="0" applyNumberFormat="1"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ill="1" applyBorder="1" applyAlignment="1">
      <alignment horizontal="center" vertical="center" wrapText="1"/>
    </xf>
    <xf numFmtId="0" fontId="19" fillId="4" borderId="0" xfId="0" applyNumberFormat="1" applyFont="1" applyFill="1" applyBorder="1" applyAlignment="1" applyProtection="1">
      <alignment horizontal="center" vertical="center" wrapText="1"/>
    </xf>
    <xf numFmtId="0" fontId="22" fillId="4" borderId="0" xfId="0" applyNumberFormat="1" applyFont="1" applyFill="1" applyBorder="1" applyAlignment="1" applyProtection="1">
      <alignment horizontal="center" vertical="center" wrapText="1"/>
    </xf>
    <xf numFmtId="0" fontId="22" fillId="4" borderId="0" xfId="0" applyFont="1" applyFill="1" applyBorder="1" applyAlignment="1" applyProtection="1">
      <alignment vertical="center" wrapText="1"/>
    </xf>
    <xf numFmtId="0" fontId="0" fillId="4" borderId="0" xfId="0" applyFill="1"/>
    <xf numFmtId="168" fontId="19" fillId="3" borderId="1" xfId="0" applyNumberFormat="1" applyFont="1" applyFill="1" applyBorder="1" applyAlignment="1" applyProtection="1">
      <alignment horizontal="center" vertical="center" wrapText="1"/>
    </xf>
    <xf numFmtId="3" fontId="19" fillId="3" borderId="1" xfId="0" applyNumberFormat="1" applyFont="1" applyFill="1" applyBorder="1" applyAlignment="1" applyProtection="1">
      <alignment horizontal="center" vertical="center" wrapText="1"/>
    </xf>
    <xf numFmtId="168" fontId="19" fillId="3" borderId="0" xfId="0" applyNumberFormat="1" applyFont="1" applyFill="1" applyBorder="1" applyAlignment="1" applyProtection="1">
      <alignment horizontal="center" vertical="center" wrapText="1"/>
    </xf>
    <xf numFmtId="168" fontId="19" fillId="4" borderId="0" xfId="0" applyNumberFormat="1" applyFont="1" applyFill="1" applyBorder="1" applyAlignment="1" applyProtection="1">
      <alignment horizontal="center" vertical="center" wrapText="1"/>
    </xf>
    <xf numFmtId="164" fontId="19" fillId="4" borderId="0" xfId="0" applyNumberFormat="1" applyFont="1" applyFill="1" applyBorder="1" applyAlignment="1" applyProtection="1">
      <alignment vertical="center" wrapText="1"/>
    </xf>
    <xf numFmtId="164" fontId="19" fillId="4" borderId="0" xfId="0" applyNumberFormat="1" applyFont="1" applyFill="1" applyBorder="1" applyAlignment="1" applyProtection="1">
      <alignment horizontal="center" vertical="center" wrapText="1"/>
    </xf>
    <xf numFmtId="0" fontId="19" fillId="2" borderId="0" xfId="0" applyNumberFormat="1" applyFont="1" applyFill="1" applyBorder="1" applyAlignment="1" applyProtection="1">
      <alignment horizontal="left" vertical="center"/>
    </xf>
    <xf numFmtId="168" fontId="0" fillId="0" borderId="0" xfId="0" applyNumberFormat="1"/>
    <xf numFmtId="174" fontId="19" fillId="4" borderId="0" xfId="0" applyNumberFormat="1" applyFont="1" applyFill="1" applyBorder="1" applyAlignment="1" applyProtection="1">
      <alignment horizontal="center" vertical="center" wrapText="1"/>
    </xf>
    <xf numFmtId="0" fontId="34" fillId="4" borderId="0" xfId="0" applyFont="1" applyFill="1"/>
    <xf numFmtId="2" fontId="19" fillId="7" borderId="1" xfId="0" applyNumberFormat="1" applyFont="1" applyFill="1" applyBorder="1" applyAlignment="1" applyProtection="1">
      <alignment horizontal="center" vertical="center" wrapText="1"/>
    </xf>
    <xf numFmtId="4" fontId="19" fillId="7" borderId="1" xfId="0" applyNumberFormat="1" applyFont="1" applyFill="1" applyBorder="1" applyAlignment="1" applyProtection="1">
      <alignment horizontal="center" vertical="center" wrapText="1"/>
    </xf>
    <xf numFmtId="4" fontId="19" fillId="3" borderId="1" xfId="0" applyNumberFormat="1" applyFont="1" applyFill="1" applyBorder="1" applyAlignment="1" applyProtection="1">
      <alignment horizontal="center" vertical="center" wrapText="1"/>
    </xf>
    <xf numFmtId="10" fontId="19" fillId="3" borderId="1" xfId="2" applyNumberFormat="1" applyFont="1" applyFill="1" applyBorder="1" applyAlignment="1" applyProtection="1">
      <alignment horizontal="center" vertical="center" wrapText="1"/>
    </xf>
    <xf numFmtId="0" fontId="20" fillId="3" borderId="12" xfId="0" applyFont="1" applyFill="1" applyBorder="1" applyAlignment="1">
      <alignment horizontal="right" vertical="center"/>
    </xf>
    <xf numFmtId="10" fontId="19" fillId="3" borderId="14" xfId="2" applyNumberFormat="1" applyFont="1" applyFill="1" applyBorder="1" applyAlignment="1" applyProtection="1">
      <alignment horizontal="center" vertical="center" wrapText="1"/>
    </xf>
    <xf numFmtId="0" fontId="19" fillId="3" borderId="12" xfId="0" applyFont="1" applyFill="1" applyBorder="1" applyAlignment="1" applyProtection="1">
      <alignment vertical="center"/>
    </xf>
    <xf numFmtId="2" fontId="19" fillId="3" borderId="14" xfId="0" applyNumberFormat="1" applyFont="1" applyFill="1" applyBorder="1" applyAlignment="1" applyProtection="1">
      <alignment horizontal="center" vertical="center" wrapText="1"/>
    </xf>
    <xf numFmtId="2" fontId="19" fillId="3" borderId="15" xfId="0" applyNumberFormat="1" applyFont="1" applyFill="1" applyBorder="1" applyAlignment="1" applyProtection="1">
      <alignment horizontal="center" vertical="center" wrapText="1"/>
    </xf>
    <xf numFmtId="2" fontId="19" fillId="3" borderId="16" xfId="0" applyNumberFormat="1" applyFont="1" applyFill="1" applyBorder="1" applyAlignment="1" applyProtection="1">
      <alignment horizontal="center" vertical="center" wrapText="1"/>
    </xf>
    <xf numFmtId="0" fontId="19" fillId="3" borderId="12" xfId="0" applyFont="1" applyFill="1" applyBorder="1" applyAlignment="1">
      <alignment vertical="center"/>
    </xf>
    <xf numFmtId="0" fontId="29" fillId="4" borderId="0" xfId="0" applyFont="1" applyFill="1" applyBorder="1" applyAlignment="1">
      <alignment horizontal="right" vertical="center" wrapText="1"/>
    </xf>
    <xf numFmtId="0" fontId="36" fillId="4" borderId="0" xfId="0" applyFont="1" applyFill="1" applyBorder="1" applyAlignment="1">
      <alignment horizontal="right" vertical="center" wrapText="1"/>
    </xf>
    <xf numFmtId="3" fontId="36" fillId="4" borderId="0" xfId="2" applyNumberFormat="1" applyFont="1" applyFill="1" applyBorder="1" applyAlignment="1" applyProtection="1">
      <alignment horizontal="right" vertical="center" wrapText="1"/>
    </xf>
    <xf numFmtId="3" fontId="36" fillId="4" borderId="0" xfId="0" applyNumberFormat="1" applyFont="1" applyFill="1" applyBorder="1" applyAlignment="1">
      <alignment horizontal="right" vertical="center" wrapText="1"/>
    </xf>
    <xf numFmtId="3" fontId="36" fillId="4" borderId="0" xfId="2" applyNumberFormat="1" applyFont="1" applyFill="1" applyBorder="1" applyAlignment="1">
      <alignment horizontal="right" vertical="center" wrapText="1"/>
    </xf>
    <xf numFmtId="10" fontId="36" fillId="4" borderId="0" xfId="2" applyNumberFormat="1" applyFont="1" applyFill="1" applyBorder="1" applyAlignment="1">
      <alignment horizontal="right" vertical="center" wrapText="1"/>
    </xf>
    <xf numFmtId="0" fontId="34" fillId="0" borderId="0" xfId="0" applyFont="1"/>
    <xf numFmtId="168" fontId="34" fillId="0" borderId="0" xfId="0" applyNumberFormat="1" applyFont="1"/>
    <xf numFmtId="0" fontId="34" fillId="0" borderId="0" xfId="0" applyFont="1" applyAlignment="1">
      <alignment horizontal="right"/>
    </xf>
    <xf numFmtId="0" fontId="18" fillId="4" borderId="0" xfId="3" applyFont="1" applyFill="1" applyAlignment="1">
      <alignment horizontal="left"/>
    </xf>
    <xf numFmtId="0" fontId="21" fillId="4" borderId="0" xfId="3" applyFont="1" applyFill="1" applyAlignment="1">
      <alignment horizontal="left" vertical="center"/>
    </xf>
    <xf numFmtId="164" fontId="19" fillId="2" borderId="1" xfId="0" applyNumberFormat="1" applyFont="1" applyFill="1" applyBorder="1" applyAlignment="1" applyProtection="1">
      <alignment horizontal="center" vertical="center" wrapText="1"/>
    </xf>
    <xf numFmtId="170" fontId="0" fillId="4" borderId="0" xfId="0" applyNumberFormat="1" applyFill="1"/>
    <xf numFmtId="0" fontId="14" fillId="3" borderId="1" xfId="2" applyNumberFormat="1" applyFont="1" applyFill="1" applyBorder="1" applyAlignment="1" applyProtection="1">
      <alignment horizontal="right" vertical="center" wrapText="1"/>
    </xf>
    <xf numFmtId="0" fontId="14" fillId="3" borderId="1" xfId="2" applyNumberFormat="1" applyFont="1" applyFill="1" applyBorder="1" applyAlignment="1" applyProtection="1">
      <alignment horizontal="right" vertical="center" wrapText="1"/>
      <protection locked="0"/>
    </xf>
    <xf numFmtId="0" fontId="13" fillId="4" borderId="0" xfId="0" applyFont="1" applyFill="1" applyBorder="1" applyAlignment="1" applyProtection="1">
      <alignment vertical="center"/>
    </xf>
    <xf numFmtId="0" fontId="13" fillId="4" borderId="0" xfId="0" applyFont="1" applyFill="1" applyBorder="1" applyAlignment="1" applyProtection="1">
      <alignment horizontal="center" vertical="center"/>
    </xf>
    <xf numFmtId="9" fontId="14" fillId="4" borderId="0" xfId="2" applyNumberFormat="1" applyFont="1" applyFill="1" applyBorder="1" applyAlignment="1" applyProtection="1">
      <alignment horizontal="right" vertical="center"/>
      <protection locked="0"/>
    </xf>
    <xf numFmtId="172" fontId="0" fillId="0" borderId="0" xfId="2" applyNumberFormat="1" applyFont="1" applyAlignment="1">
      <alignment vertical="center"/>
    </xf>
    <xf numFmtId="177" fontId="13" fillId="2" borderId="0" xfId="0" applyNumberFormat="1" applyFont="1" applyFill="1" applyBorder="1" applyAlignment="1" applyProtection="1">
      <alignment horizontal="right" vertical="center"/>
    </xf>
    <xf numFmtId="172" fontId="13" fillId="2" borderId="0" xfId="2" applyNumberFormat="1" applyFont="1" applyFill="1" applyBorder="1" applyAlignment="1" applyProtection="1">
      <alignment horizontal="right" vertical="center"/>
    </xf>
    <xf numFmtId="3" fontId="14" fillId="3" borderId="0" xfId="2" applyNumberFormat="1" applyFont="1" applyFill="1" applyBorder="1" applyAlignment="1" applyProtection="1">
      <alignment horizontal="right" vertical="center"/>
    </xf>
    <xf numFmtId="3" fontId="33" fillId="4" borderId="0" xfId="2" applyNumberFormat="1" applyFont="1" applyFill="1" applyBorder="1" applyAlignment="1" applyProtection="1">
      <alignment horizontal="right" vertical="center"/>
      <protection locked="0"/>
    </xf>
    <xf numFmtId="0" fontId="19" fillId="3" borderId="9" xfId="0" applyFont="1" applyFill="1" applyBorder="1" applyAlignment="1" applyProtection="1">
      <alignment vertical="center"/>
    </xf>
    <xf numFmtId="3" fontId="35" fillId="0" borderId="0" xfId="0" applyNumberFormat="1" applyFont="1" applyAlignment="1">
      <alignment horizontal="right"/>
    </xf>
    <xf numFmtId="3" fontId="19" fillId="6" borderId="1" xfId="2" applyNumberFormat="1" applyFont="1" applyFill="1" applyBorder="1" applyAlignment="1" applyProtection="1">
      <alignment horizontal="right" vertical="center"/>
      <protection locked="0"/>
    </xf>
    <xf numFmtId="9" fontId="14" fillId="6" borderId="1" xfId="2" applyNumberFormat="1" applyFont="1" applyFill="1" applyBorder="1" applyAlignment="1" applyProtection="1">
      <alignment horizontal="right" vertical="center"/>
      <protection locked="0"/>
    </xf>
    <xf numFmtId="0" fontId="19" fillId="6" borderId="1" xfId="0" applyNumberFormat="1" applyFont="1" applyFill="1" applyBorder="1" applyAlignment="1" applyProtection="1">
      <alignment horizontal="center" vertical="center" wrapText="1"/>
    </xf>
    <xf numFmtId="2" fontId="19" fillId="6" borderId="1" xfId="0" applyNumberFormat="1" applyFont="1" applyFill="1" applyBorder="1" applyAlignment="1" applyProtection="1">
      <alignment horizontal="center" vertical="center" wrapText="1"/>
    </xf>
    <xf numFmtId="3" fontId="19" fillId="6" borderId="1" xfId="0" applyNumberFormat="1" applyFont="1" applyFill="1" applyBorder="1" applyAlignment="1" applyProtection="1">
      <alignment horizontal="center" vertical="center" wrapText="1"/>
    </xf>
    <xf numFmtId="176" fontId="19" fillId="6" borderId="1" xfId="0" applyNumberFormat="1" applyFont="1" applyFill="1" applyBorder="1" applyAlignment="1" applyProtection="1">
      <alignment horizontal="center" vertical="center" wrapText="1"/>
    </xf>
    <xf numFmtId="3" fontId="22" fillId="3" borderId="1" xfId="2" applyNumberFormat="1" applyFont="1" applyFill="1" applyBorder="1" applyAlignment="1" applyProtection="1">
      <alignment horizontal="right" vertical="center" wrapText="1"/>
    </xf>
    <xf numFmtId="1" fontId="0" fillId="0" borderId="0" xfId="0" applyNumberFormat="1"/>
    <xf numFmtId="3" fontId="19" fillId="3" borderId="0" xfId="2" applyNumberFormat="1" applyFont="1" applyFill="1" applyBorder="1" applyAlignment="1" applyProtection="1">
      <alignment horizontal="right" vertical="center"/>
    </xf>
    <xf numFmtId="0" fontId="0" fillId="4" borderId="0" xfId="0" applyFill="1" applyBorder="1"/>
    <xf numFmtId="174" fontId="29" fillId="4" borderId="0" xfId="0" applyNumberFormat="1" applyFont="1" applyFill="1" applyBorder="1" applyAlignment="1">
      <alignment horizontal="right" vertical="center" wrapText="1"/>
    </xf>
    <xf numFmtId="3" fontId="29" fillId="4" borderId="0" xfId="0" applyNumberFormat="1" applyFont="1" applyFill="1" applyBorder="1" applyAlignment="1">
      <alignment horizontal="right" vertical="center" wrapText="1"/>
    </xf>
    <xf numFmtId="3" fontId="0" fillId="4" borderId="0" xfId="0" applyNumberFormat="1" applyFill="1" applyBorder="1" applyAlignment="1">
      <alignment horizontal="right" vertical="center" wrapText="1"/>
    </xf>
    <xf numFmtId="3" fontId="0" fillId="4" borderId="0" xfId="0" applyNumberFormat="1" applyFill="1" applyBorder="1"/>
    <xf numFmtId="3" fontId="14" fillId="7" borderId="1" xfId="2" applyNumberFormat="1" applyFont="1" applyFill="1" applyBorder="1" applyAlignment="1" applyProtection="1">
      <alignment horizontal="right" vertical="center" wrapText="1"/>
    </xf>
    <xf numFmtId="164" fontId="19" fillId="2" borderId="1" xfId="0" applyNumberFormat="1" applyFont="1" applyFill="1" applyBorder="1" applyAlignment="1" applyProtection="1">
      <alignment horizontal="center" vertical="center" wrapText="1"/>
    </xf>
    <xf numFmtId="0" fontId="22" fillId="2" borderId="0" xfId="0" applyFont="1" applyFill="1" applyBorder="1" applyAlignment="1" applyProtection="1">
      <alignment horizontal="left"/>
    </xf>
    <xf numFmtId="3" fontId="22" fillId="4" borderId="0" xfId="0" applyNumberFormat="1" applyFont="1" applyFill="1" applyBorder="1" applyAlignment="1" applyProtection="1">
      <alignment vertical="center"/>
    </xf>
    <xf numFmtId="2" fontId="19" fillId="4" borderId="0" xfId="0" applyNumberFormat="1" applyFont="1" applyFill="1" applyBorder="1" applyAlignment="1" applyProtection="1">
      <alignment horizontal="center" vertical="center" wrapText="1"/>
    </xf>
    <xf numFmtId="2" fontId="22" fillId="2" borderId="0" xfId="0" applyNumberFormat="1" applyFont="1" applyFill="1" applyBorder="1" applyAlignment="1" applyProtection="1">
      <alignment horizontal="center" vertical="center" wrapText="1"/>
    </xf>
    <xf numFmtId="0" fontId="18" fillId="4" borderId="0" xfId="3" applyFont="1" applyFill="1" applyAlignment="1">
      <alignment horizontal="left" vertical="center"/>
    </xf>
    <xf numFmtId="3" fontId="29" fillId="4" borderId="0" xfId="0" applyNumberFormat="1" applyFont="1" applyFill="1" applyBorder="1" applyAlignment="1">
      <alignment horizontal="right" vertical="center" wrapText="1"/>
    </xf>
    <xf numFmtId="9" fontId="29" fillId="4" borderId="0" xfId="2" applyFont="1" applyFill="1" applyBorder="1" applyAlignment="1">
      <alignment horizontal="right" vertical="center" wrapText="1"/>
    </xf>
    <xf numFmtId="3" fontId="29" fillId="4" borderId="0" xfId="0" applyNumberFormat="1" applyFont="1" applyFill="1" applyBorder="1" applyAlignment="1">
      <alignment horizontal="right" vertical="center" wrapText="1"/>
    </xf>
    <xf numFmtId="3" fontId="34" fillId="4" borderId="0" xfId="0" applyNumberFormat="1" applyFont="1" applyFill="1"/>
    <xf numFmtId="164" fontId="13" fillId="2" borderId="0" xfId="0" applyNumberFormat="1" applyFont="1" applyFill="1" applyBorder="1" applyAlignment="1" applyProtection="1">
      <alignment horizontal="center" vertical="center" wrapText="1"/>
    </xf>
    <xf numFmtId="167" fontId="22" fillId="3" borderId="1" xfId="2" applyNumberFormat="1" applyFont="1" applyFill="1" applyBorder="1" applyAlignment="1" applyProtection="1">
      <alignment horizontal="right" vertical="center" wrapText="1"/>
    </xf>
    <xf numFmtId="167" fontId="19" fillId="3" borderId="1" xfId="2" applyNumberFormat="1" applyFont="1" applyFill="1" applyBorder="1" applyAlignment="1" applyProtection="1">
      <alignment horizontal="right" vertical="center" wrapText="1"/>
    </xf>
    <xf numFmtId="2" fontId="19" fillId="3" borderId="1" xfId="2" applyNumberFormat="1" applyFont="1" applyFill="1" applyBorder="1" applyAlignment="1" applyProtection="1">
      <alignment horizontal="right" vertical="center" wrapText="1"/>
    </xf>
    <xf numFmtId="0" fontId="14" fillId="3" borderId="10" xfId="0" applyFont="1" applyFill="1" applyBorder="1" applyAlignment="1" applyProtection="1">
      <alignment horizontal="center" vertical="center"/>
    </xf>
    <xf numFmtId="2" fontId="19" fillId="3" borderId="18" xfId="2" applyNumberFormat="1" applyFont="1" applyFill="1" applyBorder="1" applyAlignment="1" applyProtection="1">
      <alignment horizontal="right" vertical="center" wrapText="1"/>
    </xf>
    <xf numFmtId="3" fontId="22" fillId="3" borderId="1" xfId="2" applyNumberFormat="1" applyFont="1" applyFill="1" applyBorder="1" applyAlignment="1" applyProtection="1">
      <alignment horizontal="right" vertical="center"/>
      <protection hidden="1"/>
    </xf>
    <xf numFmtId="3" fontId="29" fillId="4" borderId="0" xfId="0" applyNumberFormat="1" applyFont="1" applyFill="1" applyBorder="1" applyAlignment="1">
      <alignment vertical="center" wrapText="1"/>
    </xf>
    <xf numFmtId="3" fontId="22" fillId="4" borderId="1" xfId="2" applyNumberFormat="1" applyFont="1" applyFill="1" applyBorder="1" applyAlignment="1" applyProtection="1">
      <alignment horizontal="right" vertical="center"/>
      <protection hidden="1"/>
    </xf>
    <xf numFmtId="3" fontId="19" fillId="3" borderId="1" xfId="2" applyNumberFormat="1" applyFont="1" applyFill="1" applyBorder="1" applyAlignment="1" applyProtection="1">
      <alignment horizontal="right" vertical="center"/>
      <protection hidden="1"/>
    </xf>
    <xf numFmtId="9" fontId="19" fillId="3" borderId="1" xfId="2" applyFont="1" applyFill="1" applyBorder="1" applyAlignment="1" applyProtection="1">
      <alignment horizontal="right" vertical="center"/>
      <protection hidden="1"/>
    </xf>
    <xf numFmtId="0" fontId="13" fillId="3" borderId="0" xfId="0" applyFont="1" applyFill="1" applyBorder="1" applyAlignment="1" applyProtection="1">
      <alignment horizontal="left" vertical="center" wrapText="1"/>
    </xf>
    <xf numFmtId="164" fontId="14" fillId="3" borderId="0" xfId="0" applyNumberFormat="1" applyFont="1" applyFill="1" applyBorder="1" applyAlignment="1" applyProtection="1">
      <alignment horizontal="right" vertical="center"/>
    </xf>
    <xf numFmtId="0" fontId="20" fillId="4" borderId="0" xfId="0" applyFont="1" applyFill="1" applyBorder="1" applyAlignment="1" applyProtection="1">
      <alignment horizontal="right"/>
    </xf>
    <xf numFmtId="164" fontId="20" fillId="4" borderId="0" xfId="0" applyNumberFormat="1" applyFont="1" applyFill="1" applyBorder="1" applyAlignment="1" applyProtection="1">
      <alignment horizontal="right"/>
    </xf>
    <xf numFmtId="10" fontId="20" fillId="4" borderId="0" xfId="2" applyNumberFormat="1" applyFont="1" applyFill="1" applyBorder="1" applyAlignment="1" applyProtection="1">
      <alignment horizontal="right" vertical="center"/>
    </xf>
    <xf numFmtId="167" fontId="19" fillId="3" borderId="1" xfId="2" applyNumberFormat="1" applyFont="1" applyFill="1" applyBorder="1" applyAlignment="1" applyProtection="1">
      <alignment horizontal="right" vertical="center"/>
      <protection hidden="1"/>
    </xf>
    <xf numFmtId="176" fontId="29" fillId="4" borderId="0" xfId="0" applyNumberFormat="1" applyFont="1" applyFill="1" applyBorder="1" applyAlignment="1">
      <alignment horizontal="right" vertical="center" wrapText="1"/>
    </xf>
    <xf numFmtId="0" fontId="39" fillId="3" borderId="8" xfId="0" applyFont="1" applyFill="1" applyBorder="1" applyAlignment="1" applyProtection="1">
      <alignment horizontal="right" vertical="center"/>
    </xf>
    <xf numFmtId="0" fontId="39" fillId="3" borderId="0" xfId="0" applyFont="1" applyFill="1" applyBorder="1" applyAlignment="1" applyProtection="1">
      <alignment horizontal="center" vertical="center"/>
    </xf>
    <xf numFmtId="166" fontId="41" fillId="0" borderId="0" xfId="1" applyNumberFormat="1" applyFont="1" applyFill="1" applyBorder="1" applyAlignment="1" applyProtection="1">
      <alignment vertical="center"/>
    </xf>
    <xf numFmtId="2" fontId="39" fillId="3" borderId="1" xfId="2" applyNumberFormat="1" applyFont="1" applyFill="1" applyBorder="1" applyAlignment="1" applyProtection="1">
      <alignment horizontal="right" vertical="center" wrapText="1"/>
    </xf>
    <xf numFmtId="0" fontId="42" fillId="3" borderId="0" xfId="0" applyFont="1" applyFill="1" applyBorder="1" applyAlignment="1" applyProtection="1">
      <alignment horizontal="right" vertical="center" wrapText="1"/>
    </xf>
    <xf numFmtId="0" fontId="38" fillId="4" borderId="0" xfId="0" applyFont="1" applyFill="1" applyAlignment="1">
      <alignment horizontal="left" vertical="center" wrapText="1"/>
    </xf>
    <xf numFmtId="0" fontId="13" fillId="2" borderId="20" xfId="0" applyFont="1" applyFill="1" applyBorder="1" applyAlignment="1" applyProtection="1">
      <alignment horizontal="left" vertical="center"/>
    </xf>
    <xf numFmtId="0" fontId="13" fillId="2" borderId="17" xfId="0" applyFont="1" applyFill="1" applyBorder="1" applyAlignment="1" applyProtection="1">
      <alignment horizontal="left" vertical="center"/>
    </xf>
    <xf numFmtId="0" fontId="38" fillId="4" borderId="0" xfId="0" applyFont="1" applyFill="1" applyBorder="1"/>
    <xf numFmtId="0" fontId="14" fillId="3" borderId="2" xfId="0" applyFont="1" applyFill="1" applyBorder="1" applyAlignment="1" applyProtection="1">
      <alignment horizontal="center" vertical="center"/>
    </xf>
    <xf numFmtId="164" fontId="12" fillId="5" borderId="0" xfId="0" applyNumberFormat="1" applyFont="1" applyFill="1" applyBorder="1" applyAlignment="1" applyProtection="1">
      <alignment horizontal="center" vertical="center"/>
    </xf>
    <xf numFmtId="9" fontId="19" fillId="3" borderId="1" xfId="2" applyFont="1" applyFill="1" applyBorder="1" applyAlignment="1" applyProtection="1">
      <alignment horizontal="center" vertical="center" wrapText="1"/>
    </xf>
    <xf numFmtId="9" fontId="19" fillId="3" borderId="15" xfId="2" applyFont="1" applyFill="1" applyBorder="1" applyAlignment="1" applyProtection="1">
      <alignment horizontal="center" vertical="center" wrapText="1"/>
    </xf>
    <xf numFmtId="0" fontId="26" fillId="4" borderId="0" xfId="0" applyFont="1" applyFill="1" applyBorder="1" applyProtection="1"/>
    <xf numFmtId="9" fontId="19" fillId="3" borderId="3" xfId="2" applyFont="1" applyFill="1" applyBorder="1" applyAlignment="1" applyProtection="1">
      <alignment horizontal="center" vertical="center" wrapText="1"/>
    </xf>
    <xf numFmtId="9" fontId="19" fillId="3" borderId="23" xfId="2" applyFont="1" applyFill="1" applyBorder="1" applyAlignment="1" applyProtection="1">
      <alignment horizontal="center" vertical="center" wrapText="1"/>
    </xf>
    <xf numFmtId="9" fontId="19" fillId="3" borderId="19" xfId="2" applyFont="1" applyFill="1" applyBorder="1" applyAlignment="1" applyProtection="1">
      <alignment horizontal="center" vertical="center" wrapText="1"/>
    </xf>
    <xf numFmtId="9" fontId="19" fillId="3" borderId="24" xfId="2" applyFont="1" applyFill="1" applyBorder="1" applyAlignment="1" applyProtection="1">
      <alignment horizontal="center" vertical="center" wrapText="1"/>
    </xf>
    <xf numFmtId="9" fontId="19" fillId="3" borderId="26" xfId="2" applyFont="1" applyFill="1" applyBorder="1" applyAlignment="1" applyProtection="1">
      <alignment horizontal="center" vertical="center" wrapText="1"/>
    </xf>
    <xf numFmtId="164" fontId="19" fillId="2" borderId="23" xfId="0" applyNumberFormat="1" applyFont="1" applyFill="1" applyBorder="1" applyAlignment="1" applyProtection="1">
      <alignment horizontal="center" vertical="center" wrapText="1"/>
    </xf>
    <xf numFmtId="9" fontId="19" fillId="3" borderId="25" xfId="2" applyFont="1" applyFill="1" applyBorder="1" applyAlignment="1" applyProtection="1">
      <alignment horizontal="center" vertical="center" wrapText="1"/>
    </xf>
    <xf numFmtId="3" fontId="0" fillId="4" borderId="0" xfId="0" applyNumberFormat="1" applyFill="1"/>
    <xf numFmtId="167" fontId="47" fillId="3" borderId="1" xfId="2" applyNumberFormat="1" applyFont="1" applyFill="1" applyBorder="1" applyAlignment="1" applyProtection="1">
      <alignment horizontal="right" vertical="center" wrapText="1"/>
    </xf>
    <xf numFmtId="0" fontId="45" fillId="0" borderId="0" xfId="0" applyFont="1"/>
    <xf numFmtId="171" fontId="48" fillId="4" borderId="0" xfId="2" applyNumberFormat="1" applyFont="1" applyFill="1" applyAlignment="1">
      <alignment vertical="center"/>
    </xf>
    <xf numFmtId="10" fontId="14" fillId="3" borderId="1" xfId="2" applyNumberFormat="1" applyFont="1" applyFill="1" applyBorder="1" applyAlignment="1" applyProtection="1">
      <alignment horizontal="right" vertical="center"/>
    </xf>
    <xf numFmtId="3" fontId="46" fillId="0" borderId="0" xfId="0" applyNumberFormat="1" applyFont="1" applyAlignment="1">
      <alignment vertical="center"/>
    </xf>
    <xf numFmtId="2" fontId="39" fillId="3" borderId="0" xfId="2" applyNumberFormat="1" applyFont="1" applyFill="1" applyBorder="1" applyAlignment="1" applyProtection="1">
      <alignment horizontal="right" vertical="center"/>
    </xf>
    <xf numFmtId="2" fontId="39" fillId="3" borderId="0" xfId="2" applyNumberFormat="1" applyFont="1" applyFill="1" applyBorder="1" applyAlignment="1" applyProtection="1">
      <alignment horizontal="right" vertical="center" wrapText="1"/>
    </xf>
    <xf numFmtId="2" fontId="22" fillId="3" borderId="0" xfId="2" applyNumberFormat="1" applyFont="1" applyFill="1" applyBorder="1" applyAlignment="1" applyProtection="1">
      <alignment horizontal="right" vertical="center"/>
    </xf>
    <xf numFmtId="2" fontId="19" fillId="3" borderId="0" xfId="2" applyNumberFormat="1" applyFont="1" applyFill="1" applyBorder="1" applyAlignment="1" applyProtection="1">
      <alignment horizontal="right" vertical="center"/>
    </xf>
    <xf numFmtId="0" fontId="39" fillId="3" borderId="21" xfId="0" applyFont="1" applyFill="1" applyBorder="1" applyAlignment="1" applyProtection="1">
      <alignment horizontal="center" vertical="center"/>
    </xf>
    <xf numFmtId="2" fontId="39" fillId="3" borderId="21" xfId="2" applyNumberFormat="1" applyFont="1" applyFill="1" applyBorder="1" applyAlignment="1" applyProtection="1">
      <alignment horizontal="right" vertical="center"/>
    </xf>
    <xf numFmtId="2" fontId="39" fillId="3" borderId="21" xfId="2" applyNumberFormat="1" applyFont="1" applyFill="1" applyBorder="1" applyAlignment="1" applyProtection="1">
      <alignment horizontal="right" vertical="center" wrapText="1"/>
    </xf>
    <xf numFmtId="167" fontId="39" fillId="3" borderId="22" xfId="2" applyNumberFormat="1" applyFont="1" applyFill="1" applyBorder="1" applyAlignment="1" applyProtection="1">
      <alignment horizontal="right" vertical="center" wrapText="1"/>
    </xf>
    <xf numFmtId="167" fontId="39" fillId="3" borderId="27" xfId="2" applyNumberFormat="1" applyFont="1" applyFill="1" applyBorder="1" applyAlignment="1" applyProtection="1">
      <alignment horizontal="right" vertical="center" wrapText="1"/>
    </xf>
    <xf numFmtId="0" fontId="19" fillId="3" borderId="17" xfId="0" applyFont="1" applyFill="1" applyBorder="1" applyAlignment="1" applyProtection="1">
      <alignment vertical="center"/>
    </xf>
    <xf numFmtId="2" fontId="22" fillId="3" borderId="27" xfId="2" applyNumberFormat="1" applyFont="1" applyFill="1" applyBorder="1" applyAlignment="1" applyProtection="1">
      <alignment horizontal="right" vertical="center"/>
    </xf>
    <xf numFmtId="0" fontId="19" fillId="3" borderId="11" xfId="0" applyFont="1" applyFill="1" applyBorder="1" applyAlignment="1" applyProtection="1">
      <alignment vertical="center"/>
    </xf>
    <xf numFmtId="166" fontId="13" fillId="0" borderId="2" xfId="1" applyNumberFormat="1" applyFont="1" applyFill="1" applyBorder="1" applyAlignment="1" applyProtection="1">
      <alignment vertical="center"/>
    </xf>
    <xf numFmtId="0" fontId="39" fillId="4" borderId="0" xfId="0" applyFont="1" applyFill="1" applyBorder="1" applyAlignment="1" applyProtection="1">
      <alignment horizontal="right" vertical="center"/>
    </xf>
    <xf numFmtId="167" fontId="0" fillId="0" borderId="0" xfId="2" applyNumberFormat="1" applyFont="1"/>
    <xf numFmtId="2" fontId="20" fillId="3" borderId="1" xfId="2" applyNumberFormat="1" applyFont="1" applyFill="1" applyBorder="1" applyAlignment="1" applyProtection="1">
      <alignment horizontal="right" vertical="center" wrapText="1"/>
    </xf>
    <xf numFmtId="166" fontId="13" fillId="0" borderId="28" xfId="1" applyNumberFormat="1" applyFont="1" applyFill="1" applyBorder="1" applyAlignment="1" applyProtection="1">
      <alignment vertical="center"/>
    </xf>
    <xf numFmtId="0" fontId="20" fillId="3" borderId="0" xfId="0" applyFont="1" applyFill="1" applyBorder="1" applyAlignment="1" applyProtection="1">
      <alignment horizontal="right" vertical="center"/>
    </xf>
    <xf numFmtId="165" fontId="19" fillId="0" borderId="0" xfId="1" applyNumberFormat="1" applyFont="1" applyFill="1" applyBorder="1" applyAlignment="1" applyProtection="1">
      <alignment vertical="center"/>
    </xf>
    <xf numFmtId="164" fontId="13" fillId="2" borderId="0" xfId="0" applyNumberFormat="1" applyFont="1" applyFill="1" applyBorder="1" applyAlignment="1" applyProtection="1">
      <alignment horizontal="center" vertical="center" wrapText="1"/>
    </xf>
    <xf numFmtId="3" fontId="19" fillId="3" borderId="1" xfId="2" applyNumberFormat="1" applyFont="1" applyFill="1" applyBorder="1" applyAlignment="1" applyProtection="1">
      <alignment horizontal="right" vertical="center"/>
      <protection locked="0"/>
    </xf>
    <xf numFmtId="10" fontId="19" fillId="3" borderId="5" xfId="2" applyNumberFormat="1" applyFont="1" applyFill="1" applyBorder="1" applyAlignment="1" applyProtection="1">
      <alignment horizontal="center" vertical="center" wrapText="1"/>
    </xf>
    <xf numFmtId="2" fontId="19" fillId="3" borderId="5" xfId="0" applyNumberFormat="1" applyFont="1" applyFill="1" applyBorder="1" applyAlignment="1" applyProtection="1">
      <alignment horizontal="center" vertical="center" wrapText="1"/>
    </xf>
    <xf numFmtId="164" fontId="19" fillId="2" borderId="19" xfId="0" applyNumberFormat="1" applyFont="1" applyFill="1" applyBorder="1" applyAlignment="1" applyProtection="1">
      <alignment horizontal="center" vertical="center" wrapText="1"/>
    </xf>
    <xf numFmtId="10" fontId="19" fillId="3" borderId="19" xfId="2" applyNumberFormat="1" applyFont="1" applyFill="1" applyBorder="1" applyAlignment="1" applyProtection="1">
      <alignment horizontal="center" vertical="center" wrapText="1"/>
    </xf>
    <xf numFmtId="2" fontId="19" fillId="3" borderId="19" xfId="0" applyNumberFormat="1" applyFont="1" applyFill="1" applyBorder="1" applyAlignment="1" applyProtection="1">
      <alignment horizontal="center" vertical="center" wrapText="1"/>
    </xf>
    <xf numFmtId="2" fontId="19" fillId="3" borderId="32" xfId="0" applyNumberFormat="1" applyFont="1" applyFill="1" applyBorder="1" applyAlignment="1" applyProtection="1">
      <alignment horizontal="center" vertical="center" wrapText="1"/>
    </xf>
    <xf numFmtId="2" fontId="19" fillId="3" borderId="24" xfId="0" applyNumberFormat="1" applyFont="1" applyFill="1" applyBorder="1" applyAlignment="1" applyProtection="1">
      <alignment horizontal="center" vertical="center" wrapText="1"/>
    </xf>
    <xf numFmtId="9" fontId="19" fillId="3" borderId="5" xfId="2" applyFont="1" applyFill="1" applyBorder="1" applyAlignment="1" applyProtection="1">
      <alignment horizontal="center" vertical="center" wrapText="1"/>
    </xf>
    <xf numFmtId="9" fontId="19" fillId="3" borderId="32" xfId="2" applyFont="1" applyFill="1" applyBorder="1" applyAlignment="1" applyProtection="1">
      <alignment horizontal="center" vertical="center" wrapText="1"/>
    </xf>
    <xf numFmtId="175" fontId="19" fillId="7" borderId="19" xfId="0" applyNumberFormat="1" applyFont="1" applyFill="1" applyBorder="1" applyAlignment="1" applyProtection="1">
      <alignment horizontal="center" vertical="center" wrapText="1"/>
    </xf>
    <xf numFmtId="175" fontId="19" fillId="7" borderId="24" xfId="0" applyNumberFormat="1" applyFont="1" applyFill="1" applyBorder="1" applyAlignment="1" applyProtection="1">
      <alignment horizontal="center" vertical="center" wrapText="1"/>
    </xf>
    <xf numFmtId="3" fontId="20" fillId="3" borderId="1" xfId="2" applyNumberFormat="1" applyFont="1" applyFill="1" applyBorder="1" applyAlignment="1" applyProtection="1">
      <alignment horizontal="right" vertical="center"/>
      <protection hidden="1"/>
    </xf>
    <xf numFmtId="3" fontId="20" fillId="3" borderId="1" xfId="2" applyNumberFormat="1" applyFont="1" applyFill="1" applyBorder="1" applyAlignment="1" applyProtection="1">
      <alignment horizontal="right"/>
      <protection hidden="1"/>
    </xf>
    <xf numFmtId="10" fontId="20" fillId="3" borderId="1" xfId="2" applyNumberFormat="1" applyFont="1" applyFill="1" applyBorder="1" applyAlignment="1" applyProtection="1">
      <alignment horizontal="right"/>
      <protection hidden="1"/>
    </xf>
    <xf numFmtId="10" fontId="20" fillId="4" borderId="0" xfId="2" applyNumberFormat="1" applyFont="1" applyFill="1" applyBorder="1" applyAlignment="1" applyProtection="1">
      <alignment horizontal="right"/>
      <protection hidden="1"/>
    </xf>
    <xf numFmtId="3" fontId="20" fillId="4" borderId="0" xfId="2" applyNumberFormat="1" applyFont="1" applyFill="1" applyBorder="1" applyAlignment="1" applyProtection="1">
      <alignment horizontal="right" vertical="center"/>
      <protection hidden="1"/>
    </xf>
    <xf numFmtId="3" fontId="14" fillId="3" borderId="1" xfId="2" applyNumberFormat="1" applyFont="1" applyFill="1" applyBorder="1" applyAlignment="1" applyProtection="1">
      <alignment horizontal="right" vertical="center"/>
      <protection hidden="1"/>
    </xf>
    <xf numFmtId="3" fontId="14" fillId="4" borderId="0" xfId="2" applyNumberFormat="1" applyFont="1" applyFill="1" applyBorder="1" applyAlignment="1" applyProtection="1">
      <alignment horizontal="right" vertical="center"/>
      <protection hidden="1"/>
    </xf>
    <xf numFmtId="3" fontId="14" fillId="3" borderId="0" xfId="2" applyNumberFormat="1" applyFont="1" applyFill="1" applyBorder="1" applyAlignment="1" applyProtection="1">
      <alignment horizontal="right" vertical="center"/>
      <protection hidden="1"/>
    </xf>
    <xf numFmtId="3" fontId="19" fillId="3" borderId="0" xfId="2" applyNumberFormat="1" applyFont="1" applyFill="1" applyBorder="1" applyAlignment="1" applyProtection="1">
      <alignment horizontal="right" vertical="center"/>
      <protection hidden="1"/>
    </xf>
    <xf numFmtId="9" fontId="46" fillId="0" borderId="0" xfId="2" applyNumberFormat="1" applyFont="1" applyFill="1" applyBorder="1" applyAlignment="1" applyProtection="1">
      <alignment horizontal="right" vertical="center"/>
      <protection hidden="1"/>
    </xf>
    <xf numFmtId="164" fontId="13" fillId="2" borderId="0" xfId="0" applyNumberFormat="1" applyFont="1" applyFill="1" applyBorder="1" applyAlignment="1" applyProtection="1">
      <alignment horizontal="right" vertical="center"/>
      <protection hidden="1"/>
    </xf>
    <xf numFmtId="9" fontId="14" fillId="3" borderId="1" xfId="2" applyNumberFormat="1" applyFont="1" applyFill="1" applyBorder="1" applyAlignment="1" applyProtection="1">
      <alignment horizontal="right" vertical="center"/>
      <protection hidden="1"/>
    </xf>
    <xf numFmtId="9" fontId="14" fillId="4" borderId="0" xfId="2" applyFont="1" applyFill="1" applyBorder="1" applyAlignment="1" applyProtection="1">
      <alignment horizontal="right" vertical="center"/>
      <protection hidden="1"/>
    </xf>
    <xf numFmtId="9" fontId="13" fillId="2" borderId="0" xfId="2" applyFont="1" applyFill="1" applyBorder="1" applyAlignment="1" applyProtection="1">
      <alignment vertical="center"/>
      <protection hidden="1"/>
    </xf>
    <xf numFmtId="9" fontId="35" fillId="0" borderId="0" xfId="2" applyNumberFormat="1" applyFont="1" applyFill="1" applyBorder="1" applyAlignment="1" applyProtection="1">
      <alignment horizontal="right" vertical="center"/>
      <protection hidden="1"/>
    </xf>
    <xf numFmtId="9" fontId="14" fillId="2" borderId="1" xfId="2" applyNumberFormat="1" applyFont="1" applyFill="1" applyBorder="1" applyAlignment="1" applyProtection="1">
      <alignment horizontal="right" vertical="center"/>
      <protection hidden="1"/>
    </xf>
    <xf numFmtId="9" fontId="14" fillId="4" borderId="0" xfId="2" applyNumberFormat="1" applyFont="1" applyFill="1" applyBorder="1" applyAlignment="1" applyProtection="1">
      <alignment horizontal="right" vertical="center"/>
      <protection hidden="1"/>
    </xf>
    <xf numFmtId="0" fontId="14" fillId="0" borderId="0" xfId="0" applyFont="1" applyBorder="1" applyAlignment="1" applyProtection="1">
      <alignment vertical="center"/>
      <protection hidden="1"/>
    </xf>
    <xf numFmtId="3" fontId="14" fillId="3" borderId="1" xfId="2" applyNumberFormat="1" applyFont="1" applyFill="1" applyBorder="1" applyAlignment="1" applyProtection="1">
      <alignment vertical="center"/>
      <protection hidden="1"/>
    </xf>
    <xf numFmtId="3" fontId="20" fillId="3" borderId="1" xfId="2" applyNumberFormat="1" applyFont="1" applyFill="1" applyBorder="1" applyAlignment="1" applyProtection="1">
      <alignment vertical="center"/>
      <protection hidden="1"/>
    </xf>
    <xf numFmtId="3" fontId="14" fillId="4" borderId="0" xfId="2" applyNumberFormat="1" applyFont="1" applyFill="1" applyBorder="1" applyAlignment="1" applyProtection="1">
      <alignment vertical="center"/>
      <protection hidden="1"/>
    </xf>
    <xf numFmtId="3" fontId="22" fillId="3" borderId="1" xfId="2" applyNumberFormat="1" applyFont="1" applyFill="1" applyBorder="1" applyAlignment="1" applyProtection="1">
      <alignment horizontal="right" vertical="center" wrapText="1"/>
      <protection hidden="1"/>
    </xf>
    <xf numFmtId="3" fontId="14" fillId="3" borderId="1" xfId="2" applyNumberFormat="1" applyFont="1" applyFill="1" applyBorder="1" applyAlignment="1" applyProtection="1">
      <alignment horizontal="right" vertical="center" wrapText="1"/>
      <protection hidden="1"/>
    </xf>
    <xf numFmtId="2" fontId="22" fillId="3" borderId="1" xfId="2" applyNumberFormat="1" applyFont="1" applyFill="1" applyBorder="1" applyAlignment="1" applyProtection="1">
      <alignment horizontal="right" vertical="center"/>
      <protection hidden="1"/>
    </xf>
    <xf numFmtId="2" fontId="39" fillId="3" borderId="1" xfId="2" applyNumberFormat="1" applyFont="1" applyFill="1" applyBorder="1" applyAlignment="1" applyProtection="1">
      <alignment horizontal="right" vertical="center"/>
      <protection hidden="1"/>
    </xf>
    <xf numFmtId="2" fontId="14" fillId="3" borderId="1" xfId="2" applyNumberFormat="1" applyFont="1" applyFill="1" applyBorder="1" applyAlignment="1" applyProtection="1">
      <alignment horizontal="right" vertical="center"/>
      <protection hidden="1"/>
    </xf>
    <xf numFmtId="2" fontId="14" fillId="3" borderId="0" xfId="2" applyNumberFormat="1" applyFont="1" applyFill="1" applyBorder="1" applyAlignment="1" applyProtection="1">
      <alignment horizontal="right" vertical="center"/>
      <protection hidden="1"/>
    </xf>
    <xf numFmtId="2" fontId="22" fillId="3" borderId="18" xfId="2" applyNumberFormat="1" applyFont="1" applyFill="1" applyBorder="1" applyAlignment="1" applyProtection="1">
      <alignment horizontal="right" vertical="center"/>
      <protection hidden="1"/>
    </xf>
    <xf numFmtId="2" fontId="39" fillId="3" borderId="0" xfId="2" applyNumberFormat="1" applyFont="1" applyFill="1" applyBorder="1" applyAlignment="1" applyProtection="1">
      <alignment horizontal="right" vertical="center"/>
      <protection hidden="1"/>
    </xf>
    <xf numFmtId="2" fontId="19" fillId="3" borderId="1" xfId="2" applyNumberFormat="1" applyFont="1" applyFill="1" applyBorder="1" applyAlignment="1" applyProtection="1">
      <alignment horizontal="right" vertical="center"/>
      <protection hidden="1"/>
    </xf>
    <xf numFmtId="3" fontId="14" fillId="6" borderId="1" xfId="2" applyNumberFormat="1" applyFont="1" applyFill="1" applyBorder="1" applyAlignment="1" applyProtection="1">
      <alignment horizontal="right" vertical="center"/>
      <protection locked="0"/>
    </xf>
    <xf numFmtId="3" fontId="22" fillId="2" borderId="1" xfId="2" applyNumberFormat="1" applyFont="1" applyFill="1" applyBorder="1" applyAlignment="1" applyProtection="1">
      <alignment horizontal="right" vertical="center"/>
    </xf>
    <xf numFmtId="3" fontId="22" fillId="6" borderId="1" xfId="2" applyNumberFormat="1" applyFont="1" applyFill="1" applyBorder="1" applyAlignment="1" applyProtection="1">
      <alignment horizontal="right" vertical="center"/>
      <protection locked="0"/>
    </xf>
    <xf numFmtId="3" fontId="20" fillId="6" borderId="1" xfId="2" applyNumberFormat="1" applyFont="1" applyFill="1" applyBorder="1" applyAlignment="1" applyProtection="1">
      <alignment horizontal="right" vertical="center"/>
      <protection locked="0"/>
    </xf>
    <xf numFmtId="10" fontId="20" fillId="6" borderId="1" xfId="2" applyNumberFormat="1" applyFont="1" applyFill="1" applyBorder="1" applyAlignment="1" applyProtection="1">
      <alignment horizontal="right" vertical="center"/>
      <protection locked="0"/>
    </xf>
    <xf numFmtId="3" fontId="14" fillId="6" borderId="1" xfId="2" applyNumberFormat="1" applyFont="1" applyFill="1" applyBorder="1" applyAlignment="1" applyProtection="1">
      <alignment horizontal="right" vertical="center" wrapText="1"/>
      <protection locked="0"/>
    </xf>
    <xf numFmtId="2" fontId="22" fillId="3" borderId="1" xfId="2" applyNumberFormat="1" applyFont="1" applyFill="1" applyBorder="1" applyAlignment="1" applyProtection="1">
      <alignment horizontal="right" vertical="center"/>
      <protection locked="0"/>
    </xf>
    <xf numFmtId="2" fontId="22" fillId="3" borderId="18" xfId="2" applyNumberFormat="1" applyFont="1" applyFill="1" applyBorder="1" applyAlignment="1" applyProtection="1">
      <alignment horizontal="right" vertical="center"/>
      <protection locked="0"/>
    </xf>
    <xf numFmtId="2" fontId="19" fillId="3" borderId="1" xfId="2" applyNumberFormat="1" applyFont="1" applyFill="1" applyBorder="1" applyAlignment="1" applyProtection="1">
      <alignment horizontal="right" vertical="center"/>
      <protection locked="0"/>
    </xf>
    <xf numFmtId="167" fontId="19" fillId="3" borderId="1" xfId="2" applyNumberFormat="1" applyFont="1" applyFill="1" applyBorder="1" applyAlignment="1" applyProtection="1">
      <alignment horizontal="right" vertical="center" wrapText="1"/>
      <protection hidden="1"/>
    </xf>
    <xf numFmtId="2" fontId="39" fillId="3" borderId="1" xfId="2" applyNumberFormat="1" applyFont="1" applyFill="1" applyBorder="1" applyAlignment="1" applyProtection="1">
      <alignment horizontal="right" vertical="center"/>
      <protection locked="0"/>
    </xf>
    <xf numFmtId="10" fontId="14" fillId="6" borderId="1" xfId="2" applyNumberFormat="1" applyFont="1" applyFill="1" applyBorder="1" applyAlignment="1" applyProtection="1">
      <alignment horizontal="right" vertical="center"/>
      <protection locked="0"/>
    </xf>
    <xf numFmtId="0" fontId="20" fillId="3" borderId="0" xfId="0" applyFont="1" applyFill="1" applyBorder="1" applyAlignment="1" applyProtection="1">
      <alignment horizontal="right" vertical="center" wrapText="1"/>
    </xf>
    <xf numFmtId="164" fontId="19" fillId="2" borderId="3" xfId="0" applyNumberFormat="1" applyFont="1" applyFill="1" applyBorder="1" applyAlignment="1" applyProtection="1">
      <alignment horizontal="center" vertical="center" wrapText="1"/>
    </xf>
    <xf numFmtId="164" fontId="19" fillId="2" borderId="5" xfId="0" applyNumberFormat="1" applyFont="1" applyFill="1" applyBorder="1" applyAlignment="1" applyProtection="1">
      <alignment horizontal="center" vertical="center" wrapText="1"/>
    </xf>
    <xf numFmtId="164" fontId="19" fillId="2" borderId="1" xfId="0" applyNumberFormat="1" applyFont="1" applyFill="1" applyBorder="1" applyAlignment="1" applyProtection="1">
      <alignment horizontal="center" vertical="center" wrapText="1"/>
    </xf>
    <xf numFmtId="0" fontId="0" fillId="0" borderId="8" xfId="0" applyBorder="1"/>
    <xf numFmtId="0" fontId="19" fillId="3" borderId="37" xfId="0" applyFont="1" applyFill="1" applyBorder="1" applyAlignment="1" applyProtection="1">
      <alignment vertical="center"/>
    </xf>
    <xf numFmtId="0" fontId="0" fillId="0" borderId="29" xfId="0" applyBorder="1"/>
    <xf numFmtId="0" fontId="21" fillId="4" borderId="0" xfId="3" applyFont="1" applyFill="1" applyAlignment="1">
      <alignment horizontal="left" vertical="center" wrapText="1"/>
    </xf>
    <xf numFmtId="0" fontId="18" fillId="4" borderId="0" xfId="3" applyFont="1" applyFill="1" applyAlignment="1">
      <alignment horizontal="left" vertical="center" wrapText="1"/>
    </xf>
    <xf numFmtId="164" fontId="13" fillId="2" borderId="0" xfId="0" applyNumberFormat="1" applyFont="1" applyFill="1" applyBorder="1" applyAlignment="1" applyProtection="1">
      <alignment horizontal="center" vertical="center" wrapText="1"/>
    </xf>
    <xf numFmtId="164" fontId="12" fillId="5" borderId="0" xfId="0" applyNumberFormat="1" applyFont="1" applyFill="1" applyBorder="1" applyAlignment="1" applyProtection="1">
      <alignment horizontal="center" vertical="center"/>
    </xf>
    <xf numFmtId="4" fontId="22" fillId="3" borderId="1" xfId="2" applyNumberFormat="1" applyFont="1" applyFill="1" applyBorder="1" applyAlignment="1" applyProtection="1">
      <alignment horizontal="right" vertical="center"/>
      <protection hidden="1"/>
    </xf>
    <xf numFmtId="3" fontId="20" fillId="4" borderId="0" xfId="0" applyNumberFormat="1" applyFont="1" applyFill="1" applyBorder="1"/>
    <xf numFmtId="3" fontId="28" fillId="4" borderId="0" xfId="0" applyNumberFormat="1" applyFont="1" applyFill="1" applyBorder="1"/>
    <xf numFmtId="0" fontId="3" fillId="4" borderId="0" xfId="0" applyFont="1" applyFill="1" applyBorder="1"/>
    <xf numFmtId="3" fontId="22" fillId="4" borderId="0" xfId="0" applyNumberFormat="1" applyFont="1" applyFill="1" applyBorder="1"/>
    <xf numFmtId="9" fontId="22" fillId="4" borderId="0" xfId="2" applyFont="1" applyFill="1" applyBorder="1"/>
    <xf numFmtId="167" fontId="3" fillId="4" borderId="0" xfId="2" applyNumberFormat="1" applyFont="1" applyFill="1" applyBorder="1" applyAlignment="1">
      <alignment horizontal="right" vertical="center"/>
    </xf>
    <xf numFmtId="167" fontId="38" fillId="4" borderId="0" xfId="2" applyNumberFormat="1" applyFont="1" applyFill="1" applyBorder="1" applyAlignment="1">
      <alignment horizontal="right" vertical="center"/>
    </xf>
    <xf numFmtId="3" fontId="19" fillId="4" borderId="0" xfId="0" applyNumberFormat="1" applyFont="1" applyFill="1" applyBorder="1"/>
    <xf numFmtId="0" fontId="2" fillId="4" borderId="0" xfId="0" applyFont="1" applyFill="1" applyBorder="1" applyAlignment="1">
      <alignment horizontal="center" vertical="center"/>
    </xf>
    <xf numFmtId="3" fontId="20" fillId="4" borderId="0" xfId="2" applyNumberFormat="1" applyFont="1" applyFill="1" applyBorder="1" applyAlignment="1">
      <alignment horizontal="right" vertical="center"/>
    </xf>
    <xf numFmtId="3" fontId="20" fillId="4" borderId="0" xfId="2" applyNumberFormat="1" applyFont="1" applyFill="1" applyBorder="1" applyAlignment="1">
      <alignment vertical="center"/>
    </xf>
    <xf numFmtId="171" fontId="20" fillId="4" borderId="0" xfId="2" applyNumberFormat="1" applyFont="1" applyFill="1" applyBorder="1"/>
    <xf numFmtId="171" fontId="20" fillId="4" borderId="0" xfId="0" applyNumberFormat="1" applyFont="1" applyFill="1" applyBorder="1"/>
    <xf numFmtId="164" fontId="13" fillId="2" borderId="39" xfId="0" applyNumberFormat="1" applyFont="1" applyFill="1" applyBorder="1" applyAlignment="1" applyProtection="1">
      <alignment horizontal="center" vertical="center" wrapText="1"/>
    </xf>
    <xf numFmtId="167" fontId="19" fillId="3" borderId="40" xfId="2" applyNumberFormat="1" applyFont="1" applyFill="1" applyBorder="1" applyAlignment="1" applyProtection="1">
      <alignment horizontal="right" vertical="center" wrapText="1"/>
    </xf>
    <xf numFmtId="167" fontId="20" fillId="3" borderId="40" xfId="2" applyNumberFormat="1" applyFont="1" applyFill="1" applyBorder="1" applyAlignment="1" applyProtection="1">
      <alignment horizontal="right" vertical="center" wrapText="1"/>
    </xf>
    <xf numFmtId="167" fontId="39" fillId="3" borderId="40" xfId="2" applyNumberFormat="1" applyFont="1" applyFill="1" applyBorder="1" applyAlignment="1" applyProtection="1">
      <alignment horizontal="right" vertical="center" wrapText="1"/>
    </xf>
    <xf numFmtId="167" fontId="39" fillId="3" borderId="39" xfId="2" applyNumberFormat="1" applyFont="1" applyFill="1" applyBorder="1" applyAlignment="1" applyProtection="1">
      <alignment horizontal="right" vertical="center" wrapText="1"/>
    </xf>
    <xf numFmtId="2" fontId="22" fillId="3" borderId="39" xfId="2" applyNumberFormat="1" applyFont="1" applyFill="1" applyBorder="1" applyAlignment="1" applyProtection="1">
      <alignment horizontal="right" vertical="center"/>
    </xf>
    <xf numFmtId="167" fontId="19" fillId="3" borderId="41" xfId="2" applyNumberFormat="1" applyFont="1" applyFill="1" applyBorder="1" applyAlignment="1" applyProtection="1">
      <alignment horizontal="right" vertical="center" wrapText="1"/>
    </xf>
    <xf numFmtId="0" fontId="21" fillId="4" borderId="0" xfId="3" applyFont="1" applyFill="1" applyAlignment="1">
      <alignment horizontal="left" vertical="center" wrapText="1"/>
    </xf>
    <xf numFmtId="0" fontId="18" fillId="4" borderId="0" xfId="3" applyFont="1" applyFill="1" applyAlignment="1">
      <alignment horizontal="left" vertical="center" wrapText="1"/>
    </xf>
    <xf numFmtId="164" fontId="13" fillId="2" borderId="0" xfId="0" applyNumberFormat="1" applyFont="1" applyFill="1" applyBorder="1" applyAlignment="1" applyProtection="1">
      <alignment horizontal="center" vertical="center" wrapText="1"/>
    </xf>
    <xf numFmtId="164" fontId="13" fillId="2" borderId="39" xfId="0" applyNumberFormat="1" applyFont="1" applyFill="1" applyBorder="1" applyAlignment="1" applyProtection="1">
      <alignment horizontal="center" vertical="center" wrapText="1"/>
    </xf>
    <xf numFmtId="0" fontId="20" fillId="3" borderId="0" xfId="0" applyFont="1" applyFill="1" applyBorder="1" applyAlignment="1" applyProtection="1">
      <alignment horizontal="right" vertical="center" wrapText="1"/>
    </xf>
    <xf numFmtId="3" fontId="51" fillId="0" borderId="0" xfId="0" applyNumberFormat="1" applyFont="1" applyFill="1" applyBorder="1" applyAlignment="1" applyProtection="1">
      <alignment horizontal="center" vertical="center" wrapText="1"/>
    </xf>
    <xf numFmtId="164" fontId="13" fillId="2" borderId="7" xfId="0" applyNumberFormat="1" applyFont="1" applyFill="1" applyBorder="1" applyAlignment="1" applyProtection="1">
      <alignment horizontal="center" vertical="center" wrapText="1"/>
    </xf>
    <xf numFmtId="164" fontId="13" fillId="2" borderId="38" xfId="0" applyNumberFormat="1" applyFont="1" applyFill="1" applyBorder="1" applyAlignment="1" applyProtection="1">
      <alignment horizontal="center" vertical="center" wrapText="1"/>
    </xf>
    <xf numFmtId="0" fontId="20" fillId="4" borderId="0" xfId="0" applyFont="1" applyFill="1" applyBorder="1" applyAlignment="1" applyProtection="1">
      <alignment horizontal="left" vertical="center" wrapText="1"/>
    </xf>
    <xf numFmtId="0" fontId="43" fillId="0" borderId="0" xfId="0" applyFont="1" applyAlignment="1">
      <alignment horizontal="left" vertical="center" wrapText="1"/>
    </xf>
    <xf numFmtId="0" fontId="50" fillId="0" borderId="0" xfId="0" applyFont="1" applyAlignment="1">
      <alignment horizontal="center" vertical="center"/>
    </xf>
    <xf numFmtId="0" fontId="49" fillId="4" borderId="0" xfId="0" applyFont="1" applyFill="1" applyBorder="1" applyAlignment="1">
      <alignment horizontal="center" vertical="center"/>
    </xf>
    <xf numFmtId="0" fontId="20" fillId="4" borderId="7" xfId="0" applyFont="1" applyFill="1" applyBorder="1" applyAlignment="1" applyProtection="1">
      <alignment horizontal="right" vertical="center"/>
    </xf>
    <xf numFmtId="0" fontId="20" fillId="4" borderId="2" xfId="0" applyFont="1" applyFill="1" applyBorder="1" applyAlignment="1" applyProtection="1">
      <alignment horizontal="right" vertical="center"/>
    </xf>
    <xf numFmtId="0" fontId="2" fillId="4"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2" fillId="8" borderId="0" xfId="0" applyFont="1" applyFill="1" applyBorder="1" applyAlignment="1" applyProtection="1">
      <alignment horizontal="left" vertical="center" wrapText="1"/>
    </xf>
    <xf numFmtId="164" fontId="12" fillId="5" borderId="2" xfId="0" applyNumberFormat="1" applyFont="1" applyFill="1" applyBorder="1" applyAlignment="1" applyProtection="1">
      <alignment horizontal="center" vertical="center"/>
    </xf>
    <xf numFmtId="164" fontId="19" fillId="2" borderId="31" xfId="0" applyNumberFormat="1" applyFont="1" applyFill="1" applyBorder="1" applyAlignment="1" applyProtection="1">
      <alignment horizontal="center" vertical="center" wrapText="1"/>
    </xf>
    <xf numFmtId="164" fontId="19" fillId="2" borderId="33" xfId="0" applyNumberFormat="1" applyFont="1" applyFill="1" applyBorder="1" applyAlignment="1" applyProtection="1">
      <alignment horizontal="center" vertical="center" wrapText="1"/>
    </xf>
    <xf numFmtId="164" fontId="22" fillId="2" borderId="36" xfId="0" applyNumberFormat="1" applyFont="1" applyFill="1" applyBorder="1" applyAlignment="1" applyProtection="1">
      <alignment horizontal="center" vertical="center" wrapText="1"/>
    </xf>
    <xf numFmtId="164" fontId="22" fillId="2" borderId="4" xfId="0" applyNumberFormat="1" applyFont="1" applyFill="1" applyBorder="1" applyAlignment="1" applyProtection="1">
      <alignment horizontal="center" vertical="center" wrapText="1"/>
    </xf>
    <xf numFmtId="164" fontId="22" fillId="2" borderId="30" xfId="0" applyNumberFormat="1" applyFont="1" applyFill="1" applyBorder="1" applyAlignment="1" applyProtection="1">
      <alignment horizontal="center" vertical="center" wrapText="1"/>
    </xf>
    <xf numFmtId="164" fontId="22" fillId="2" borderId="13" xfId="0" applyNumberFormat="1" applyFont="1" applyFill="1" applyBorder="1" applyAlignment="1" applyProtection="1">
      <alignment horizontal="center" vertical="center" wrapText="1"/>
    </xf>
    <xf numFmtId="164" fontId="22" fillId="2" borderId="35" xfId="0" applyNumberFormat="1" applyFont="1" applyFill="1" applyBorder="1" applyAlignment="1" applyProtection="1">
      <alignment horizontal="center" vertical="center" wrapText="1"/>
    </xf>
    <xf numFmtId="0" fontId="22" fillId="2" borderId="0" xfId="0" applyFont="1" applyFill="1" applyBorder="1" applyAlignment="1" applyProtection="1">
      <alignment horizontal="left" vertical="center"/>
    </xf>
    <xf numFmtId="164" fontId="12" fillId="5" borderId="12" xfId="0" applyNumberFormat="1" applyFont="1" applyFill="1" applyBorder="1" applyAlignment="1" applyProtection="1">
      <alignment horizontal="center" vertical="center"/>
    </xf>
    <xf numFmtId="164" fontId="12" fillId="5" borderId="0" xfId="0" applyNumberFormat="1" applyFont="1" applyFill="1" applyBorder="1" applyAlignment="1" applyProtection="1">
      <alignment horizontal="center" vertical="center"/>
    </xf>
    <xf numFmtId="164" fontId="19" fillId="2" borderId="34" xfId="0" applyNumberFormat="1" applyFont="1" applyFill="1" applyBorder="1" applyAlignment="1" applyProtection="1">
      <alignment horizontal="center" vertical="center" wrapText="1"/>
    </xf>
    <xf numFmtId="164" fontId="22" fillId="2" borderId="3" xfId="0" applyNumberFormat="1" applyFont="1" applyFill="1" applyBorder="1" applyAlignment="1" applyProtection="1">
      <alignment horizontal="center" vertical="center" wrapText="1"/>
    </xf>
    <xf numFmtId="164" fontId="19" fillId="2" borderId="3" xfId="0" applyNumberFormat="1" applyFont="1" applyFill="1" applyBorder="1" applyAlignment="1" applyProtection="1">
      <alignment horizontal="center" vertical="center" wrapText="1"/>
    </xf>
    <xf numFmtId="164" fontId="19" fillId="2" borderId="4" xfId="0" applyNumberFormat="1" applyFont="1" applyFill="1" applyBorder="1" applyAlignment="1" applyProtection="1">
      <alignment horizontal="center" vertical="center" wrapText="1"/>
    </xf>
    <xf numFmtId="164" fontId="19" fillId="2" borderId="5" xfId="0" applyNumberFormat="1" applyFont="1" applyFill="1" applyBorder="1" applyAlignment="1" applyProtection="1">
      <alignment horizontal="center" vertical="center" wrapText="1"/>
    </xf>
    <xf numFmtId="164" fontId="19" fillId="2" borderId="1" xfId="0" applyNumberFormat="1" applyFont="1" applyFill="1" applyBorder="1" applyAlignment="1" applyProtection="1">
      <alignment horizontal="center" vertical="center" wrapText="1"/>
    </xf>
    <xf numFmtId="164" fontId="19" fillId="2" borderId="1" xfId="0" applyNumberFormat="1" applyFont="1" applyFill="1" applyBorder="1" applyAlignment="1" applyProtection="1">
      <alignment horizontal="center" vertical="center"/>
    </xf>
    <xf numFmtId="0" fontId="19" fillId="2" borderId="1" xfId="0" applyNumberFormat="1" applyFont="1" applyFill="1" applyBorder="1" applyAlignment="1" applyProtection="1">
      <alignment horizontal="center" vertical="center"/>
    </xf>
    <xf numFmtId="0" fontId="22" fillId="2" borderId="0" xfId="0" applyFont="1" applyFill="1" applyBorder="1" applyAlignment="1" applyProtection="1">
      <alignment horizontal="left"/>
    </xf>
    <xf numFmtId="164" fontId="19" fillId="2" borderId="0" xfId="0" applyNumberFormat="1" applyFont="1" applyFill="1" applyBorder="1" applyAlignment="1" applyProtection="1">
      <alignment horizontal="left" vertical="center" wrapText="1"/>
    </xf>
    <xf numFmtId="164" fontId="19" fillId="2" borderId="0" xfId="0" applyNumberFormat="1" applyFont="1" applyFill="1" applyBorder="1" applyAlignment="1" applyProtection="1">
      <alignment horizontal="center" vertical="center" wrapText="1"/>
    </xf>
    <xf numFmtId="164" fontId="22" fillId="2" borderId="5" xfId="0" applyNumberFormat="1" applyFont="1" applyFill="1" applyBorder="1" applyAlignment="1" applyProtection="1">
      <alignment horizontal="center" vertical="center" wrapText="1"/>
    </xf>
    <xf numFmtId="3" fontId="22" fillId="2" borderId="3" xfId="0" applyNumberFormat="1" applyFont="1" applyFill="1" applyBorder="1" applyAlignment="1" applyProtection="1">
      <alignment horizontal="center" vertical="center" wrapText="1"/>
    </xf>
    <xf numFmtId="3" fontId="22" fillId="2" borderId="4" xfId="0" applyNumberFormat="1" applyFont="1" applyFill="1" applyBorder="1" applyAlignment="1" applyProtection="1">
      <alignment horizontal="center" vertical="center" wrapText="1"/>
    </xf>
    <xf numFmtId="3" fontId="22" fillId="2" borderId="5" xfId="0" applyNumberFormat="1" applyFont="1" applyFill="1" applyBorder="1" applyAlignment="1" applyProtection="1">
      <alignment horizontal="center" vertical="center" wrapText="1"/>
    </xf>
    <xf numFmtId="0" fontId="22" fillId="2" borderId="0" xfId="0" applyFont="1" applyFill="1" applyBorder="1" applyAlignment="1" applyProtection="1">
      <alignment horizontal="left" vertical="center" wrapText="1"/>
    </xf>
  </cellXfs>
  <cellStyles count="14">
    <cellStyle name="Comma" xfId="1" builtinId="3"/>
    <cellStyle name="Normal" xfId="0" builtinId="0"/>
    <cellStyle name="Normal 2" xfId="5"/>
    <cellStyle name="Normal 2 2" xfId="3"/>
    <cellStyle name="Normal 2 3" xfId="8"/>
    <cellStyle name="Normal 3" xfId="6"/>
    <cellStyle name="Normal 3 2" xfId="9"/>
    <cellStyle name="Normal 4" xfId="4"/>
    <cellStyle name="Normal 5" xfId="10"/>
    <cellStyle name="Normal 6" xfId="11"/>
    <cellStyle name="Normal 7" xfId="12"/>
    <cellStyle name="Normal 8" xfId="13"/>
    <cellStyle name="Percent" xfId="2" builtinId="5"/>
    <cellStyle name="Percent 2" xfId="7"/>
  </cellStyles>
  <dxfs count="0"/>
  <tableStyles count="0" defaultTableStyle="TableStyleMedium2" defaultPivotStyle="PivotStyleMedium9"/>
  <colors>
    <mruColors>
      <color rgb="FFF5862B"/>
      <color rgb="FF36609A"/>
      <color rgb="FFDDD9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3"/>
  <sheetViews>
    <sheetView showGridLines="0" tabSelected="1" zoomScale="70" zoomScaleNormal="70" workbookViewId="0">
      <selection activeCell="B149" sqref="B149"/>
    </sheetView>
  </sheetViews>
  <sheetFormatPr defaultRowHeight="14.4" x14ac:dyDescent="0.3"/>
  <cols>
    <col min="1" max="1" width="0.6640625" customWidth="1"/>
    <col min="2" max="2" width="86.44140625" customWidth="1"/>
    <col min="3" max="3" width="19.44140625" customWidth="1"/>
    <col min="4" max="4" width="3.33203125" customWidth="1"/>
    <col min="5" max="5" width="17.88671875" customWidth="1"/>
    <col min="6" max="6" width="17" customWidth="1"/>
    <col min="7" max="7" width="14.6640625" customWidth="1"/>
    <col min="8" max="8" width="14.77734375" customWidth="1"/>
    <col min="9" max="9" width="14.6640625" customWidth="1"/>
    <col min="10" max="10" width="13.33203125" customWidth="1"/>
    <col min="11" max="11" width="16.5546875" customWidth="1"/>
    <col min="12" max="12" width="15.5546875" customWidth="1"/>
    <col min="13" max="13" width="16.21875" customWidth="1"/>
    <col min="14" max="14" width="14.44140625" customWidth="1"/>
  </cols>
  <sheetData>
    <row r="1" spans="2:7" ht="25.8" customHeight="1" x14ac:dyDescent="0.3">
      <c r="B1" s="343" t="s">
        <v>178</v>
      </c>
      <c r="C1" s="343"/>
      <c r="D1" s="343"/>
      <c r="E1" s="343"/>
      <c r="F1" s="343"/>
    </row>
    <row r="2" spans="2:7" ht="62.4" customHeight="1" x14ac:dyDescent="0.3">
      <c r="B2" s="333" t="s">
        <v>95</v>
      </c>
      <c r="C2" s="333"/>
      <c r="D2" s="333"/>
      <c r="E2" s="333"/>
      <c r="F2" s="333"/>
    </row>
    <row r="3" spans="2:7" ht="24" customHeight="1" x14ac:dyDescent="0.3">
      <c r="B3" s="309" t="s">
        <v>179</v>
      </c>
      <c r="C3" s="308"/>
      <c r="D3" s="308"/>
      <c r="E3" s="308"/>
      <c r="F3" s="308"/>
    </row>
    <row r="4" spans="2:7" ht="31.8" customHeight="1" x14ac:dyDescent="0.3">
      <c r="B4" s="334" t="s">
        <v>173</v>
      </c>
      <c r="C4" s="334"/>
      <c r="D4" s="334"/>
      <c r="E4" s="334"/>
      <c r="F4" s="334"/>
    </row>
    <row r="5" spans="2:7" ht="21" customHeight="1" x14ac:dyDescent="0.3">
      <c r="B5" s="24" t="s">
        <v>7</v>
      </c>
      <c r="C5" s="4"/>
      <c r="D5" s="4"/>
      <c r="E5" s="4"/>
      <c r="F5" s="27"/>
    </row>
    <row r="6" spans="2:7" ht="15" customHeight="1" x14ac:dyDescent="0.3">
      <c r="B6" s="213" t="s">
        <v>94</v>
      </c>
      <c r="C6" s="39"/>
      <c r="D6" s="3"/>
      <c r="E6" s="38"/>
      <c r="F6" s="69"/>
    </row>
    <row r="7" spans="2:7" ht="15" customHeight="1" x14ac:dyDescent="0.3">
      <c r="B7" s="213"/>
      <c r="C7" s="39"/>
      <c r="D7" s="3"/>
      <c r="E7" s="38"/>
      <c r="F7" s="69"/>
    </row>
    <row r="8" spans="2:7" ht="121.2" customHeight="1" x14ac:dyDescent="0.3">
      <c r="B8" s="349" t="s">
        <v>96</v>
      </c>
      <c r="C8" s="349"/>
      <c r="D8" s="3"/>
      <c r="E8" s="338" t="s">
        <v>97</v>
      </c>
      <c r="F8" s="338"/>
    </row>
    <row r="9" spans="2:7" ht="15.6" x14ac:dyDescent="0.3">
      <c r="B9" s="2"/>
      <c r="C9" s="1"/>
      <c r="D9" s="2"/>
      <c r="E9" s="210" t="s">
        <v>98</v>
      </c>
      <c r="F9" s="5" t="s">
        <v>99</v>
      </c>
      <c r="G9" s="8"/>
    </row>
    <row r="10" spans="2:7" ht="16.2" customHeight="1" x14ac:dyDescent="0.3">
      <c r="B10" s="59" t="s">
        <v>169</v>
      </c>
      <c r="C10" s="12" t="s">
        <v>1</v>
      </c>
      <c r="D10" s="40"/>
      <c r="E10" s="66">
        <f>E11+E12</f>
        <v>42671</v>
      </c>
      <c r="F10" s="290">
        <f>F11+F12</f>
        <v>36073.929999999993</v>
      </c>
      <c r="G10" s="8"/>
    </row>
    <row r="11" spans="2:7" ht="16.2" customHeight="1" x14ac:dyDescent="0.3">
      <c r="B11" s="36" t="s">
        <v>100</v>
      </c>
      <c r="C11" s="13" t="s">
        <v>1</v>
      </c>
      <c r="D11" s="40"/>
      <c r="E11" s="191">
        <f>E14</f>
        <v>42671</v>
      </c>
      <c r="F11" s="72">
        <f>F14</f>
        <v>45433.259999999995</v>
      </c>
    </row>
    <row r="12" spans="2:7" ht="16.2" customHeight="1" x14ac:dyDescent="0.3">
      <c r="B12" s="36" t="s">
        <v>101</v>
      </c>
      <c r="C12" s="13" t="s">
        <v>1</v>
      </c>
      <c r="D12" s="41"/>
      <c r="E12" s="191">
        <v>0</v>
      </c>
      <c r="F12" s="157">
        <v>-9359.33</v>
      </c>
      <c r="G12" s="144"/>
    </row>
    <row r="13" spans="2:7" ht="16.2" customHeight="1" x14ac:dyDescent="0.3">
      <c r="B13" s="22"/>
      <c r="C13" s="21"/>
      <c r="D13" s="41"/>
      <c r="E13" s="190"/>
      <c r="F13" s="190"/>
    </row>
    <row r="14" spans="2:7" ht="16.2" customHeight="1" x14ac:dyDescent="0.3">
      <c r="B14" s="68" t="s">
        <v>109</v>
      </c>
      <c r="C14" s="12" t="s">
        <v>1</v>
      </c>
      <c r="D14" s="40"/>
      <c r="E14" s="66">
        <f>E15+E17</f>
        <v>42671</v>
      </c>
      <c r="F14" s="290">
        <f>F15+F17</f>
        <v>45433.259999999995</v>
      </c>
    </row>
    <row r="15" spans="2:7" ht="27.6" x14ac:dyDescent="0.3">
      <c r="B15" s="26" t="s">
        <v>103</v>
      </c>
      <c r="C15" s="13" t="s">
        <v>1</v>
      </c>
      <c r="D15" s="42"/>
      <c r="E15" s="188">
        <v>26488</v>
      </c>
      <c r="F15" s="291">
        <v>27524.32</v>
      </c>
    </row>
    <row r="16" spans="2:7" ht="15" customHeight="1" x14ac:dyDescent="0.3">
      <c r="B16" s="7" t="s">
        <v>105</v>
      </c>
      <c r="C16" s="19" t="s">
        <v>1</v>
      </c>
      <c r="D16" s="42"/>
      <c r="E16" s="259">
        <v>9993.4621084045793</v>
      </c>
      <c r="F16" s="292">
        <v>9773.8700000000008</v>
      </c>
      <c r="G16" s="8"/>
    </row>
    <row r="17" spans="2:15" ht="27.6" customHeight="1" x14ac:dyDescent="0.3">
      <c r="B17" s="36" t="s">
        <v>102</v>
      </c>
      <c r="C17" s="13" t="s">
        <v>1</v>
      </c>
      <c r="D17" s="42"/>
      <c r="E17" s="188">
        <v>16183</v>
      </c>
      <c r="F17" s="291">
        <v>17908.939999999999</v>
      </c>
      <c r="G17" s="8"/>
      <c r="J17" s="179"/>
      <c r="K17" s="178"/>
      <c r="L17" s="180"/>
      <c r="M17" s="180"/>
      <c r="N17" s="180"/>
      <c r="O17" s="8"/>
    </row>
    <row r="18" spans="2:15" ht="15" customHeight="1" x14ac:dyDescent="0.3">
      <c r="B18" s="61" t="s">
        <v>108</v>
      </c>
      <c r="C18" s="19" t="s">
        <v>1</v>
      </c>
      <c r="D18" s="42"/>
      <c r="E18" s="191">
        <v>755.66099999999994</v>
      </c>
      <c r="F18" s="157">
        <v>855.82399999999996</v>
      </c>
      <c r="J18" s="132"/>
      <c r="K18" s="180"/>
      <c r="L18" s="189"/>
      <c r="M18" s="189"/>
      <c r="N18" s="189"/>
      <c r="O18" s="189"/>
    </row>
    <row r="19" spans="2:15" x14ac:dyDescent="0.3">
      <c r="B19" s="301" t="s">
        <v>106</v>
      </c>
      <c r="C19" s="19" t="s">
        <v>1</v>
      </c>
      <c r="D19" s="62"/>
      <c r="E19" s="260">
        <f>E17*E20</f>
        <v>10785.969499999999</v>
      </c>
      <c r="F19" s="11">
        <f>F17*F20</f>
        <v>8954.4699999999993</v>
      </c>
      <c r="H19" s="8"/>
      <c r="I19" s="8"/>
      <c r="J19" s="133"/>
      <c r="K19" s="134"/>
      <c r="L19" s="135"/>
      <c r="M19" s="134"/>
      <c r="N19" s="135"/>
      <c r="O19" s="8"/>
    </row>
    <row r="20" spans="2:15" x14ac:dyDescent="0.3">
      <c r="B20" s="301" t="s">
        <v>107</v>
      </c>
      <c r="C20" s="19" t="s">
        <v>0</v>
      </c>
      <c r="D20" s="62"/>
      <c r="E20" s="261">
        <v>0.66649999999999998</v>
      </c>
      <c r="F20" s="293">
        <v>0.5</v>
      </c>
      <c r="G20" s="132"/>
      <c r="H20" s="180"/>
      <c r="I20" s="8"/>
    </row>
    <row r="21" spans="2:15" hidden="1" x14ac:dyDescent="0.3">
      <c r="B21" s="195"/>
      <c r="C21" s="25"/>
      <c r="D21" s="196"/>
      <c r="E21" s="262"/>
      <c r="F21" s="197"/>
      <c r="G21" s="132"/>
      <c r="H21" s="180"/>
      <c r="I21" s="8"/>
    </row>
    <row r="22" spans="2:15" hidden="1" x14ac:dyDescent="0.3">
      <c r="B22" s="193" t="s">
        <v>176</v>
      </c>
      <c r="C22" s="13" t="s">
        <v>1</v>
      </c>
      <c r="D22" s="194"/>
      <c r="E22" s="188">
        <f>E23+E25</f>
        <v>0</v>
      </c>
      <c r="F22" s="188">
        <f>F23+F25</f>
        <v>-9359.33</v>
      </c>
      <c r="G22" s="132"/>
      <c r="H22" s="180"/>
      <c r="I22" s="8"/>
    </row>
    <row r="23" spans="2:15" hidden="1" x14ac:dyDescent="0.3">
      <c r="B23" s="337" t="s">
        <v>174</v>
      </c>
      <c r="C23" s="19" t="s">
        <v>1</v>
      </c>
      <c r="D23" s="40"/>
      <c r="E23" s="191">
        <v>0</v>
      </c>
      <c r="F23" s="191">
        <f>F12*F24</f>
        <v>-3004.8463310130701</v>
      </c>
      <c r="G23" s="132"/>
      <c r="H23" s="180"/>
      <c r="I23" s="8"/>
    </row>
    <row r="24" spans="2:15" hidden="1" x14ac:dyDescent="0.3">
      <c r="B24" s="337"/>
      <c r="C24" s="19" t="s">
        <v>0</v>
      </c>
      <c r="D24" s="40"/>
      <c r="E24" s="192">
        <v>0</v>
      </c>
      <c r="F24" s="198">
        <f>1-F26</f>
        <v>0.32105357231907306</v>
      </c>
      <c r="G24" s="132"/>
      <c r="H24" s="180"/>
      <c r="I24" s="8"/>
    </row>
    <row r="25" spans="2:15" hidden="1" x14ac:dyDescent="0.3">
      <c r="B25" s="337" t="s">
        <v>175</v>
      </c>
      <c r="C25" s="19" t="s">
        <v>1</v>
      </c>
      <c r="D25" s="40"/>
      <c r="E25" s="191">
        <v>0</v>
      </c>
      <c r="F25" s="191">
        <f>F12*F26</f>
        <v>-6354.4836689869298</v>
      </c>
      <c r="G25" s="132"/>
      <c r="H25" s="180"/>
      <c r="I25" s="8"/>
    </row>
    <row r="26" spans="2:15" hidden="1" x14ac:dyDescent="0.3">
      <c r="B26" s="337"/>
      <c r="C26" s="19" t="s">
        <v>0</v>
      </c>
      <c r="D26" s="40"/>
      <c r="E26" s="192">
        <v>0</v>
      </c>
      <c r="F26" s="198">
        <f>F17/(F17+F100*F78/1000)</f>
        <v>0.67894642768092694</v>
      </c>
      <c r="G26" s="132"/>
      <c r="H26" s="180"/>
    </row>
    <row r="27" spans="2:15" x14ac:dyDescent="0.3">
      <c r="B27" s="195"/>
      <c r="C27" s="25"/>
      <c r="D27" s="196"/>
      <c r="E27" s="262"/>
      <c r="F27" s="197"/>
      <c r="G27" s="132"/>
      <c r="H27" s="180"/>
      <c r="I27" s="8"/>
    </row>
    <row r="28" spans="2:15" x14ac:dyDescent="0.3">
      <c r="B28" s="68" t="s">
        <v>142</v>
      </c>
      <c r="C28" s="12" t="s">
        <v>1</v>
      </c>
      <c r="D28" s="40"/>
      <c r="E28" s="66">
        <f>E29+E31</f>
        <v>42671</v>
      </c>
      <c r="F28" s="290">
        <f>F29+F31</f>
        <v>36073.93</v>
      </c>
      <c r="G28" s="132"/>
      <c r="H28" s="180"/>
      <c r="I28" s="8"/>
      <c r="J28" s="8"/>
    </row>
    <row r="29" spans="2:15" ht="27.6" x14ac:dyDescent="0.3">
      <c r="B29" s="26" t="s">
        <v>104</v>
      </c>
      <c r="C29" s="13" t="s">
        <v>1</v>
      </c>
      <c r="D29" s="42"/>
      <c r="E29" s="188">
        <f>E15+E23</f>
        <v>26488</v>
      </c>
      <c r="F29" s="188">
        <f>F15+F23</f>
        <v>24519.473668986931</v>
      </c>
      <c r="G29" s="132"/>
      <c r="H29" s="180"/>
      <c r="I29" s="8"/>
      <c r="J29" s="8"/>
    </row>
    <row r="30" spans="2:15" x14ac:dyDescent="0.3">
      <c r="B30" s="301" t="s">
        <v>105</v>
      </c>
      <c r="C30" s="19" t="s">
        <v>1</v>
      </c>
      <c r="D30" s="42"/>
      <c r="E30" s="259">
        <f>E16</f>
        <v>9993.4621084045793</v>
      </c>
      <c r="F30" s="259">
        <f>F16</f>
        <v>9773.8700000000008</v>
      </c>
      <c r="G30" s="132"/>
      <c r="H30" s="180"/>
      <c r="I30" s="8"/>
    </row>
    <row r="31" spans="2:15" x14ac:dyDescent="0.3">
      <c r="B31" s="36" t="s">
        <v>102</v>
      </c>
      <c r="C31" s="13" t="s">
        <v>1</v>
      </c>
      <c r="D31" s="42"/>
      <c r="E31" s="188">
        <f>E17+E25</f>
        <v>16183</v>
      </c>
      <c r="F31" s="312">
        <f>F17+F25</f>
        <v>11554.456331013069</v>
      </c>
      <c r="G31" s="132"/>
      <c r="H31" s="180"/>
      <c r="I31" s="71"/>
    </row>
    <row r="32" spans="2:15" ht="15" x14ac:dyDescent="0.3">
      <c r="B32" s="61" t="s">
        <v>108</v>
      </c>
      <c r="C32" s="19" t="s">
        <v>1</v>
      </c>
      <c r="D32" s="42"/>
      <c r="E32" s="191">
        <f>E31/E17*E18</f>
        <v>755.66099999999994</v>
      </c>
      <c r="F32" s="191">
        <f>F31/F17*F18</f>
        <v>552.15892370139875</v>
      </c>
      <c r="G32" s="132"/>
      <c r="H32" s="180"/>
      <c r="I32" s="71"/>
    </row>
    <row r="33" spans="2:9" x14ac:dyDescent="0.3">
      <c r="B33" s="301" t="s">
        <v>106</v>
      </c>
      <c r="C33" s="19" t="s">
        <v>1</v>
      </c>
      <c r="D33" s="62"/>
      <c r="E33" s="260">
        <f>E31*E20</f>
        <v>10785.969499999999</v>
      </c>
      <c r="F33" s="260">
        <f>F31*F20</f>
        <v>5777.2281655065344</v>
      </c>
      <c r="G33" s="199"/>
      <c r="H33" s="180"/>
      <c r="I33" s="8"/>
    </row>
    <row r="34" spans="2:9" x14ac:dyDescent="0.3">
      <c r="B34" s="43"/>
      <c r="C34" s="25"/>
      <c r="D34" s="44"/>
      <c r="E34" s="263"/>
      <c r="F34" s="28"/>
      <c r="G34" s="132"/>
      <c r="H34" s="168"/>
      <c r="I34" s="8"/>
    </row>
    <row r="35" spans="2:9" ht="35.4" customHeight="1" x14ac:dyDescent="0.3">
      <c r="B35" s="59" t="s">
        <v>118</v>
      </c>
      <c r="C35" s="12" t="s">
        <v>1</v>
      </c>
      <c r="D35" s="40"/>
      <c r="E35" s="264">
        <v>6380</v>
      </c>
      <c r="F35" s="264" t="s">
        <v>2</v>
      </c>
      <c r="G35" s="132"/>
      <c r="H35" s="168"/>
      <c r="I35" s="8"/>
    </row>
    <row r="36" spans="2:9" hidden="1" x14ac:dyDescent="0.3">
      <c r="B36" s="301" t="s">
        <v>116</v>
      </c>
      <c r="C36" s="13" t="s">
        <v>1</v>
      </c>
      <c r="D36" s="40"/>
      <c r="E36" s="264">
        <f>E35-E37</f>
        <v>3166.1461197448361</v>
      </c>
      <c r="F36" s="264" t="s">
        <v>2</v>
      </c>
      <c r="G36" s="132"/>
      <c r="H36" s="169"/>
      <c r="I36" s="8"/>
    </row>
    <row r="37" spans="2:9" ht="16.2" hidden="1" customHeight="1" x14ac:dyDescent="0.3">
      <c r="B37" s="301" t="s">
        <v>117</v>
      </c>
      <c r="C37" s="13" t="s">
        <v>1</v>
      </c>
      <c r="D37" s="40"/>
      <c r="E37" s="264">
        <f>E35*E31/(E31+E29*E52-E101/0.66*E77/1000)</f>
        <v>3213.8538802551639</v>
      </c>
      <c r="F37" s="264" t="s">
        <v>2</v>
      </c>
      <c r="G37" s="132"/>
      <c r="H37" s="169"/>
      <c r="I37" s="8"/>
    </row>
    <row r="38" spans="2:9" x14ac:dyDescent="0.3">
      <c r="B38" s="22"/>
      <c r="C38" s="21"/>
      <c r="D38" s="41"/>
      <c r="E38" s="265"/>
      <c r="F38" s="28"/>
      <c r="G38" s="132"/>
      <c r="H38" s="137"/>
      <c r="I38" s="136"/>
    </row>
    <row r="39" spans="2:9" ht="41.4" customHeight="1" x14ac:dyDescent="0.3">
      <c r="B39" s="59" t="s">
        <v>119</v>
      </c>
      <c r="C39" s="12" t="s">
        <v>1</v>
      </c>
      <c r="D39" s="40"/>
      <c r="E39" s="264">
        <f>E10-E35</f>
        <v>36291</v>
      </c>
      <c r="F39" s="264" t="s">
        <v>2</v>
      </c>
      <c r="G39" s="133"/>
      <c r="H39" s="170"/>
      <c r="I39" s="8"/>
    </row>
    <row r="40" spans="2:9" ht="18.600000000000001" customHeight="1" x14ac:dyDescent="0.3">
      <c r="B40" s="68" t="s">
        <v>115</v>
      </c>
      <c r="C40" s="12" t="s">
        <v>1</v>
      </c>
      <c r="D40" s="40"/>
      <c r="E40" s="264">
        <f>E15-E36</f>
        <v>23321.853880255163</v>
      </c>
      <c r="F40" s="6">
        <f>F41+F42</f>
        <v>27524.32</v>
      </c>
      <c r="G40" s="132"/>
      <c r="H40" s="170"/>
      <c r="I40" s="8"/>
    </row>
    <row r="41" spans="2:9" x14ac:dyDescent="0.3">
      <c r="B41" s="301" t="s">
        <v>105</v>
      </c>
      <c r="C41" s="13" t="s">
        <v>1</v>
      </c>
      <c r="D41" s="40"/>
      <c r="E41" s="264">
        <f>E16</f>
        <v>9993.4621084045793</v>
      </c>
      <c r="F41" s="6">
        <f>F16</f>
        <v>9773.8700000000008</v>
      </c>
      <c r="G41" s="132"/>
      <c r="H41" s="135"/>
      <c r="I41" s="8"/>
    </row>
    <row r="42" spans="2:9" ht="16.2" customHeight="1" x14ac:dyDescent="0.3">
      <c r="B42" s="301" t="s">
        <v>111</v>
      </c>
      <c r="C42" s="13" t="s">
        <v>1</v>
      </c>
      <c r="D42" s="40"/>
      <c r="E42" s="264">
        <f>E40-E41</f>
        <v>13328.391771850584</v>
      </c>
      <c r="F42" s="6">
        <f>F15-F16</f>
        <v>17750.449999999997</v>
      </c>
      <c r="G42" s="132"/>
      <c r="H42" s="135"/>
      <c r="I42" s="8"/>
    </row>
    <row r="43" spans="2:9" ht="15" customHeight="1" x14ac:dyDescent="0.3">
      <c r="B43" s="204"/>
      <c r="C43" s="13"/>
      <c r="D43" s="40"/>
      <c r="E43" s="266"/>
      <c r="F43" s="153"/>
      <c r="G43" s="132"/>
      <c r="H43" s="135"/>
      <c r="I43" s="8"/>
    </row>
    <row r="44" spans="2:9" ht="16.2" customHeight="1" x14ac:dyDescent="0.3">
      <c r="B44" s="301" t="s">
        <v>110</v>
      </c>
      <c r="C44" s="13" t="s">
        <v>1</v>
      </c>
      <c r="D44" s="42"/>
      <c r="E44" s="191" t="s">
        <v>2</v>
      </c>
      <c r="F44" s="72">
        <f>F41-F47</f>
        <v>8229.3541755044262</v>
      </c>
      <c r="G44" s="132"/>
      <c r="H44" s="135"/>
      <c r="I44" s="8"/>
    </row>
    <row r="45" spans="2:9" ht="16.2" customHeight="1" x14ac:dyDescent="0.3">
      <c r="B45" s="301" t="s">
        <v>112</v>
      </c>
      <c r="C45" s="13" t="s">
        <v>1</v>
      </c>
      <c r="D45" s="42"/>
      <c r="E45" s="191" t="s">
        <v>2</v>
      </c>
      <c r="F45" s="72">
        <f>F42-F48</f>
        <v>16542.533824495571</v>
      </c>
      <c r="G45" s="132"/>
      <c r="H45" s="135"/>
      <c r="I45" s="8"/>
    </row>
    <row r="46" spans="2:9" ht="16.2" customHeight="1" x14ac:dyDescent="0.3">
      <c r="B46" s="204"/>
      <c r="C46" s="13"/>
      <c r="D46" s="42"/>
      <c r="E46" s="267"/>
      <c r="F46" s="165"/>
      <c r="G46" s="132"/>
      <c r="H46" s="135"/>
      <c r="I46" s="8"/>
    </row>
    <row r="47" spans="2:9" ht="16.2" customHeight="1" x14ac:dyDescent="0.3">
      <c r="B47" s="301" t="s">
        <v>113</v>
      </c>
      <c r="C47" s="13" t="s">
        <v>1</v>
      </c>
      <c r="D47" s="42"/>
      <c r="E47" s="191" t="s">
        <v>2</v>
      </c>
      <c r="F47" s="72">
        <f>IF(F108="N/A",0,F86*F108/1000)</f>
        <v>1544.5158244955751</v>
      </c>
      <c r="G47" s="167"/>
      <c r="H47" s="135"/>
      <c r="I47" s="8"/>
    </row>
    <row r="48" spans="2:9" ht="16.2" customHeight="1" x14ac:dyDescent="0.3">
      <c r="B48" s="301" t="s">
        <v>114</v>
      </c>
      <c r="C48" s="13" t="s">
        <v>1</v>
      </c>
      <c r="D48" s="42"/>
      <c r="E48" s="191" t="s">
        <v>2</v>
      </c>
      <c r="F48" s="72">
        <f>IF(F108="N/A",0,(F83-F86)*F108/1000)</f>
        <v>1207.9161755044242</v>
      </c>
      <c r="G48" s="132"/>
      <c r="H48" s="135"/>
      <c r="I48" s="8"/>
    </row>
    <row r="49" spans="2:10" x14ac:dyDescent="0.3">
      <c r="B49" s="45"/>
      <c r="C49" s="14"/>
      <c r="D49" s="40"/>
      <c r="E49" s="268"/>
      <c r="F49" s="226"/>
      <c r="H49" s="8"/>
      <c r="I49" s="8"/>
      <c r="J49" s="8"/>
    </row>
    <row r="50" spans="2:10" ht="16.2" customHeight="1" x14ac:dyDescent="0.3">
      <c r="B50" s="32" t="s">
        <v>170</v>
      </c>
      <c r="C50" s="15"/>
      <c r="D50" s="46"/>
      <c r="E50" s="269"/>
      <c r="F50" s="29"/>
      <c r="G50" s="8"/>
    </row>
    <row r="51" spans="2:10" x14ac:dyDescent="0.3">
      <c r="B51" s="47" t="s">
        <v>120</v>
      </c>
      <c r="C51" s="16" t="s">
        <v>0</v>
      </c>
      <c r="D51" s="48"/>
      <c r="E51" s="270">
        <v>0.2</v>
      </c>
      <c r="F51" s="300">
        <v>0.73257364149920134</v>
      </c>
      <c r="G51" s="74"/>
    </row>
    <row r="52" spans="2:10" x14ac:dyDescent="0.3">
      <c r="B52" s="47" t="s">
        <v>121</v>
      </c>
      <c r="C52" s="16" t="s">
        <v>0</v>
      </c>
      <c r="D52" s="48"/>
      <c r="E52" s="270">
        <f>1-E51</f>
        <v>0.8</v>
      </c>
      <c r="F52" s="225">
        <f t="shared" ref="F52" si="0">1-F51</f>
        <v>0.26742635850079866</v>
      </c>
    </row>
    <row r="53" spans="2:10" x14ac:dyDescent="0.3">
      <c r="B53" s="49"/>
      <c r="C53" s="20"/>
      <c r="D53" s="50"/>
      <c r="E53" s="271"/>
      <c r="F53" s="28"/>
    </row>
    <row r="54" spans="2:10" ht="16.95" customHeight="1" x14ac:dyDescent="0.3">
      <c r="B54" s="32" t="s">
        <v>172</v>
      </c>
      <c r="C54" s="15"/>
      <c r="D54" s="51"/>
      <c r="E54" s="272"/>
      <c r="F54" s="52"/>
    </row>
    <row r="55" spans="2:10" x14ac:dyDescent="0.3">
      <c r="B55" s="47" t="s">
        <v>122</v>
      </c>
      <c r="C55" s="16" t="s">
        <v>0</v>
      </c>
      <c r="D55" s="48"/>
      <c r="E55" s="270">
        <f>70.9667522966893%</f>
        <v>0.70966752296689295</v>
      </c>
      <c r="F55" s="158">
        <v>0.9</v>
      </c>
      <c r="H55" s="8"/>
    </row>
    <row r="56" spans="2:10" x14ac:dyDescent="0.3">
      <c r="B56" s="47" t="s">
        <v>123</v>
      </c>
      <c r="C56" s="16" t="s">
        <v>0</v>
      </c>
      <c r="D56" s="48"/>
      <c r="E56" s="270">
        <f>1-E55</f>
        <v>0.29033247703310705</v>
      </c>
      <c r="F56" s="70">
        <f t="shared" ref="F56" si="1">1-F55</f>
        <v>9.9999999999999978E-2</v>
      </c>
      <c r="H56" s="9"/>
    </row>
    <row r="57" spans="2:10" x14ac:dyDescent="0.3">
      <c r="B57" s="53"/>
      <c r="C57" s="17"/>
      <c r="D57" s="48"/>
      <c r="E57" s="273"/>
      <c r="F57" s="156"/>
      <c r="H57" s="8"/>
    </row>
    <row r="58" spans="2:10" x14ac:dyDescent="0.3">
      <c r="B58" s="32" t="s">
        <v>124</v>
      </c>
      <c r="C58" s="15" t="s">
        <v>0</v>
      </c>
      <c r="D58" s="48"/>
      <c r="E58" s="274">
        <v>0.75</v>
      </c>
      <c r="F58" s="158">
        <v>0.75</v>
      </c>
      <c r="H58" s="8"/>
    </row>
    <row r="59" spans="2:10" x14ac:dyDescent="0.3">
      <c r="B59" s="147"/>
      <c r="C59" s="148"/>
      <c r="D59" s="50"/>
      <c r="E59" s="275"/>
      <c r="F59" s="149"/>
      <c r="H59" s="164"/>
    </row>
    <row r="60" spans="2:10" x14ac:dyDescent="0.3">
      <c r="B60" s="32" t="s">
        <v>171</v>
      </c>
      <c r="C60" s="15"/>
      <c r="D60" s="46"/>
      <c r="E60" s="269"/>
      <c r="F60" s="29"/>
      <c r="H60" s="164"/>
    </row>
    <row r="61" spans="2:10" x14ac:dyDescent="0.3">
      <c r="B61" s="47" t="s">
        <v>120</v>
      </c>
      <c r="C61" s="16" t="s">
        <v>0</v>
      </c>
      <c r="D61" s="48"/>
      <c r="E61" s="270">
        <v>0.2</v>
      </c>
      <c r="F61" s="225">
        <f>(F70*F96+F73*F99)/1000/F45</f>
        <v>0.47719460339277975</v>
      </c>
      <c r="H61" s="164"/>
    </row>
    <row r="62" spans="2:10" x14ac:dyDescent="0.3">
      <c r="B62" s="47" t="s">
        <v>121</v>
      </c>
      <c r="C62" s="16" t="s">
        <v>0</v>
      </c>
      <c r="D62" s="48"/>
      <c r="E62" s="270">
        <f>1-E61</f>
        <v>0.8</v>
      </c>
      <c r="F62" s="225">
        <f t="shared" ref="F62" si="2">1-F61</f>
        <v>0.52280539660722025</v>
      </c>
    </row>
    <row r="63" spans="2:10" x14ac:dyDescent="0.3">
      <c r="B63" s="54"/>
      <c r="C63" s="18"/>
      <c r="D63" s="53"/>
      <c r="E63" s="276"/>
      <c r="F63" s="224"/>
    </row>
    <row r="64" spans="2:10" ht="28.8" x14ac:dyDescent="0.3">
      <c r="B64" s="35" t="s">
        <v>166</v>
      </c>
      <c r="C64" s="15"/>
      <c r="D64" s="46"/>
      <c r="E64" s="29"/>
      <c r="F64" s="151"/>
      <c r="G64" s="246" t="s">
        <v>125</v>
      </c>
    </row>
    <row r="65" spans="2:9" x14ac:dyDescent="0.3">
      <c r="B65" s="33" t="s">
        <v>126</v>
      </c>
      <c r="C65" s="16" t="s">
        <v>136</v>
      </c>
      <c r="D65" s="30"/>
      <c r="E65" s="277">
        <f>E66+E77</f>
        <v>117200</v>
      </c>
      <c r="F65" s="145" t="s">
        <v>2</v>
      </c>
      <c r="G65" s="298" t="s">
        <v>2</v>
      </c>
    </row>
    <row r="66" spans="2:9" x14ac:dyDescent="0.3">
      <c r="B66" s="37" t="s">
        <v>127</v>
      </c>
      <c r="C66" s="16"/>
      <c r="D66" s="30"/>
      <c r="E66" s="278">
        <v>8000</v>
      </c>
      <c r="F66" s="145" t="s">
        <v>2</v>
      </c>
      <c r="G66" s="298" t="s">
        <v>2</v>
      </c>
    </row>
    <row r="67" spans="2:9" x14ac:dyDescent="0.3">
      <c r="B67" s="33" t="s">
        <v>51</v>
      </c>
      <c r="C67" s="16" t="s">
        <v>136</v>
      </c>
      <c r="D67" s="30"/>
      <c r="E67" s="277">
        <v>0</v>
      </c>
      <c r="F67" s="146" t="s">
        <v>2</v>
      </c>
      <c r="G67" s="298" t="s">
        <v>2</v>
      </c>
    </row>
    <row r="68" spans="2:9" x14ac:dyDescent="0.3">
      <c r="B68" s="33" t="s">
        <v>55</v>
      </c>
      <c r="C68" s="16" t="s">
        <v>136</v>
      </c>
      <c r="D68" s="30"/>
      <c r="E68" s="277">
        <v>21350</v>
      </c>
      <c r="F68" s="146" t="s">
        <v>2</v>
      </c>
      <c r="G68" s="298" t="s">
        <v>2</v>
      </c>
    </row>
    <row r="69" spans="2:9" ht="15.6" customHeight="1" x14ac:dyDescent="0.3">
      <c r="B69" s="26" t="s">
        <v>128</v>
      </c>
      <c r="C69" s="16" t="s">
        <v>136</v>
      </c>
      <c r="D69" s="30"/>
      <c r="E69" s="188" t="s">
        <v>2</v>
      </c>
      <c r="F69" s="67">
        <f>F70+F73</f>
        <v>84882.147814207652</v>
      </c>
      <c r="G69" s="298" t="s">
        <v>2</v>
      </c>
    </row>
    <row r="70" spans="2:9" ht="15" customHeight="1" x14ac:dyDescent="0.3">
      <c r="B70" s="37" t="s">
        <v>131</v>
      </c>
      <c r="C70" s="16" t="s">
        <v>136</v>
      </c>
      <c r="D70" s="30"/>
      <c r="E70" s="264" t="s">
        <v>2</v>
      </c>
      <c r="F70" s="72">
        <f>F71+F72</f>
        <v>45428.328142076505</v>
      </c>
      <c r="G70" s="298" t="s">
        <v>2</v>
      </c>
    </row>
    <row r="71" spans="2:9" ht="15" customHeight="1" x14ac:dyDescent="0.3">
      <c r="B71" s="244" t="s">
        <v>130</v>
      </c>
      <c r="C71" s="16" t="s">
        <v>136</v>
      </c>
      <c r="D71" s="245"/>
      <c r="E71" s="191" t="s">
        <v>2</v>
      </c>
      <c r="F71" s="292">
        <v>44361.049453551917</v>
      </c>
      <c r="G71" s="298" t="s">
        <v>2</v>
      </c>
      <c r="I71" s="8"/>
    </row>
    <row r="72" spans="2:9" ht="15" customHeight="1" x14ac:dyDescent="0.3">
      <c r="B72" s="244" t="s">
        <v>132</v>
      </c>
      <c r="C72" s="16" t="s">
        <v>136</v>
      </c>
      <c r="D72" s="245"/>
      <c r="E72" s="191" t="s">
        <v>2</v>
      </c>
      <c r="F72" s="292">
        <v>1067.2786885245901</v>
      </c>
      <c r="G72" s="298" t="s">
        <v>2</v>
      </c>
      <c r="I72" s="8"/>
    </row>
    <row r="73" spans="2:9" ht="12.6" customHeight="1" x14ac:dyDescent="0.3">
      <c r="B73" s="37" t="s">
        <v>129</v>
      </c>
      <c r="C73" s="16" t="s">
        <v>136</v>
      </c>
      <c r="D73" s="30"/>
      <c r="E73" s="264" t="s">
        <v>2</v>
      </c>
      <c r="F73" s="157">
        <v>39453.819672131154</v>
      </c>
      <c r="G73" s="298" t="s">
        <v>2</v>
      </c>
    </row>
    <row r="74" spans="2:9" x14ac:dyDescent="0.3">
      <c r="B74" s="33" t="s">
        <v>138</v>
      </c>
      <c r="C74" s="16" t="s">
        <v>136</v>
      </c>
      <c r="D74" s="30"/>
      <c r="E74" s="264" t="s">
        <v>2</v>
      </c>
      <c r="F74" s="247">
        <f>F77</f>
        <v>109200</v>
      </c>
      <c r="G74" s="298" t="s">
        <v>2</v>
      </c>
    </row>
    <row r="75" spans="2:9" x14ac:dyDescent="0.3">
      <c r="B75" s="26" t="s">
        <v>135</v>
      </c>
      <c r="C75" s="16" t="s">
        <v>136</v>
      </c>
      <c r="D75" s="30"/>
      <c r="E75" s="188">
        <f>SUM(E76:E78)</f>
        <v>192734.6</v>
      </c>
      <c r="F75" s="67">
        <f>SUM(F76:F78)</f>
        <v>206675.61837701546</v>
      </c>
      <c r="G75" s="183">
        <f t="shared" ref="G75:G78" si="3">F75/E75-1</f>
        <v>7.2332722702698193E-2</v>
      </c>
    </row>
    <row r="76" spans="2:9" x14ac:dyDescent="0.3">
      <c r="B76" s="33" t="s">
        <v>52</v>
      </c>
      <c r="C76" s="16" t="s">
        <v>136</v>
      </c>
      <c r="D76" s="30"/>
      <c r="E76" s="277">
        <v>25</v>
      </c>
      <c r="F76" s="157">
        <v>2027.8483606557377</v>
      </c>
      <c r="G76" s="222">
        <f>F76/E76-1</f>
        <v>80.113934426229505</v>
      </c>
      <c r="H76" s="223"/>
    </row>
    <row r="77" spans="2:9" x14ac:dyDescent="0.3">
      <c r="B77" s="33" t="s">
        <v>53</v>
      </c>
      <c r="C77" s="16" t="s">
        <v>136</v>
      </c>
      <c r="D77" s="30"/>
      <c r="E77" s="277">
        <v>109200</v>
      </c>
      <c r="F77" s="157">
        <v>109200</v>
      </c>
      <c r="G77" s="184">
        <f t="shared" si="3"/>
        <v>0</v>
      </c>
      <c r="H77" s="223"/>
    </row>
    <row r="78" spans="2:9" x14ac:dyDescent="0.3">
      <c r="B78" s="33" t="s">
        <v>54</v>
      </c>
      <c r="C78" s="16" t="s">
        <v>136</v>
      </c>
      <c r="D78" s="30"/>
      <c r="E78" s="277">
        <v>83509.600000000006</v>
      </c>
      <c r="F78" s="6">
        <f>F79+F80</f>
        <v>95447.770016359704</v>
      </c>
      <c r="G78" s="222">
        <f t="shared" si="3"/>
        <v>0.14295566038347318</v>
      </c>
      <c r="H78" s="223"/>
    </row>
    <row r="79" spans="2:9" ht="15" x14ac:dyDescent="0.3">
      <c r="B79" s="60" t="s">
        <v>133</v>
      </c>
      <c r="C79" s="16" t="s">
        <v>136</v>
      </c>
      <c r="D79" s="30"/>
      <c r="E79" s="277">
        <v>41509.599999999999</v>
      </c>
      <c r="F79" s="289">
        <v>53447.770016359704</v>
      </c>
      <c r="G79" s="222">
        <f t="shared" ref="G79:G80" si="4">F79/E79-1</f>
        <v>0.28760021817506565</v>
      </c>
      <c r="H79" s="223"/>
    </row>
    <row r="80" spans="2:9" ht="15" x14ac:dyDescent="0.3">
      <c r="B80" s="60" t="s">
        <v>134</v>
      </c>
      <c r="C80" s="16" t="s">
        <v>136</v>
      </c>
      <c r="D80" s="30"/>
      <c r="E80" s="277">
        <v>42000</v>
      </c>
      <c r="F80" s="289">
        <v>42000</v>
      </c>
      <c r="G80" s="222">
        <f t="shared" si="4"/>
        <v>0</v>
      </c>
      <c r="H80" s="223"/>
    </row>
    <row r="81" spans="1:12" x14ac:dyDescent="0.3">
      <c r="C81" s="20"/>
      <c r="D81" s="64"/>
      <c r="E81" s="279"/>
      <c r="F81" s="154"/>
      <c r="G81" s="31"/>
    </row>
    <row r="82" spans="1:12" ht="29.4" customHeight="1" x14ac:dyDescent="0.3">
      <c r="B82" s="59" t="s">
        <v>144</v>
      </c>
      <c r="C82" s="15"/>
      <c r="D82" s="46"/>
      <c r="E82" s="269"/>
      <c r="F82" s="29"/>
      <c r="G82" s="182" t="s">
        <v>139</v>
      </c>
      <c r="H82" s="81"/>
    </row>
    <row r="83" spans="1:12" ht="13.8" customHeight="1" x14ac:dyDescent="0.3">
      <c r="B83" s="33" t="s">
        <v>145</v>
      </c>
      <c r="C83" s="16" t="s">
        <v>137</v>
      </c>
      <c r="D83" s="46"/>
      <c r="E83" s="280">
        <f>SUM(E84:E86)</f>
        <v>49721689</v>
      </c>
      <c r="F83" s="163">
        <f>SUM(F84:F86)</f>
        <v>49598784.695999995</v>
      </c>
      <c r="G83" s="183">
        <f>F83/E83-1</f>
        <v>-2.4718449125894493E-3</v>
      </c>
    </row>
    <row r="84" spans="1:12" ht="13.2" customHeight="1" x14ac:dyDescent="0.3">
      <c r="B84" s="33" t="s">
        <v>52</v>
      </c>
      <c r="C84" s="16" t="s">
        <v>137</v>
      </c>
      <c r="D84" s="46"/>
      <c r="E84" s="281">
        <v>1273795</v>
      </c>
      <c r="F84" s="294">
        <v>494795</v>
      </c>
      <c r="G84" s="184">
        <f t="shared" ref="G84:G92" si="5">F84/E84-1</f>
        <v>-0.61155837477773112</v>
      </c>
    </row>
    <row r="85" spans="1:12" ht="13.2" customHeight="1" x14ac:dyDescent="0.3">
      <c r="B85" s="33" t="s">
        <v>54</v>
      </c>
      <c r="C85" s="16" t="s">
        <v>137</v>
      </c>
      <c r="D85" s="46"/>
      <c r="E85" s="281">
        <f>E90</f>
        <v>22447894</v>
      </c>
      <c r="F85" s="171">
        <f>'SK skaičiavimas_Vidinis'!O9</f>
        <v>21271836.953000002</v>
      </c>
      <c r="G85" s="184">
        <f t="shared" si="5"/>
        <v>-5.2390529240738504E-2</v>
      </c>
      <c r="I85" s="8"/>
    </row>
    <row r="86" spans="1:12" ht="13.2" customHeight="1" x14ac:dyDescent="0.3">
      <c r="B86" s="33" t="s">
        <v>53</v>
      </c>
      <c r="C86" s="16" t="s">
        <v>137</v>
      </c>
      <c r="D86" s="46"/>
      <c r="E86" s="281">
        <v>26000000</v>
      </c>
      <c r="F86" s="171">
        <f>'SK skaičiavimas_Šakiai'!O9</f>
        <v>27832152.742999997</v>
      </c>
      <c r="G86" s="184">
        <f t="shared" si="5"/>
        <v>7.0467413192307538E-2</v>
      </c>
    </row>
    <row r="87" spans="1:12" ht="14.4" customHeight="1" x14ac:dyDescent="0.3">
      <c r="B87" s="26" t="s">
        <v>146</v>
      </c>
      <c r="C87" s="16" t="s">
        <v>136</v>
      </c>
      <c r="D87" s="63"/>
      <c r="E87" s="280">
        <f>E88+E89</f>
        <v>170745.04500000001</v>
      </c>
      <c r="F87" s="163">
        <f>F88+F89</f>
        <v>151302.34400000001</v>
      </c>
      <c r="G87" s="183">
        <f t="shared" si="5"/>
        <v>-0.11386978169703255</v>
      </c>
    </row>
    <row r="88" spans="1:12" ht="14.4" customHeight="1" x14ac:dyDescent="0.3">
      <c r="B88" s="60" t="s">
        <v>133</v>
      </c>
      <c r="C88" s="16" t="s">
        <v>136</v>
      </c>
      <c r="D88" s="63"/>
      <c r="E88" s="264">
        <v>128745.04500000001</v>
      </c>
      <c r="F88" s="289">
        <v>109302.34400000001</v>
      </c>
      <c r="G88" s="184">
        <f t="shared" si="5"/>
        <v>-0.15101708186128637</v>
      </c>
    </row>
    <row r="89" spans="1:12" ht="14.4" customHeight="1" x14ac:dyDescent="0.3">
      <c r="B89" s="60" t="s">
        <v>134</v>
      </c>
      <c r="C89" s="16" t="s">
        <v>136</v>
      </c>
      <c r="D89" s="63"/>
      <c r="E89" s="264">
        <v>42000</v>
      </c>
      <c r="F89" s="289">
        <v>42000</v>
      </c>
      <c r="G89" s="184">
        <f t="shared" si="5"/>
        <v>0</v>
      </c>
    </row>
    <row r="90" spans="1:12" ht="14.4" customHeight="1" x14ac:dyDescent="0.3">
      <c r="B90" s="26" t="s">
        <v>147</v>
      </c>
      <c r="C90" s="16" t="s">
        <v>137</v>
      </c>
      <c r="D90" s="63"/>
      <c r="E90" s="280">
        <f>E91+E92</f>
        <v>22447894</v>
      </c>
      <c r="F90" s="163">
        <f>ROUND(F85,0)</f>
        <v>21271837</v>
      </c>
      <c r="G90" s="183">
        <f t="shared" si="5"/>
        <v>-5.2390527147000987E-2</v>
      </c>
      <c r="J90" s="241"/>
    </row>
    <row r="91" spans="1:12" ht="15" x14ac:dyDescent="0.3">
      <c r="B91" s="60" t="s">
        <v>133</v>
      </c>
      <c r="C91" s="16" t="s">
        <v>137</v>
      </c>
      <c r="D91" s="63"/>
      <c r="E91" s="281">
        <v>9266477</v>
      </c>
      <c r="F91" s="294">
        <v>8090420</v>
      </c>
      <c r="G91" s="184">
        <f t="shared" si="5"/>
        <v>-0.12691522355259721</v>
      </c>
      <c r="H91" s="110"/>
      <c r="I91" s="221"/>
    </row>
    <row r="92" spans="1:12" ht="15" x14ac:dyDescent="0.3">
      <c r="B92" s="60" t="s">
        <v>134</v>
      </c>
      <c r="C92" s="16" t="s">
        <v>137</v>
      </c>
      <c r="D92" s="63"/>
      <c r="E92" s="281">
        <v>13181417</v>
      </c>
      <c r="F92" s="65">
        <f>F90-F91</f>
        <v>13181417</v>
      </c>
      <c r="G92" s="184">
        <f t="shared" si="5"/>
        <v>0</v>
      </c>
      <c r="H92" s="110"/>
      <c r="I92" s="110"/>
    </row>
    <row r="93" spans="1:12" ht="15" thickBot="1" x14ac:dyDescent="0.35">
      <c r="B93" s="34"/>
      <c r="C93" s="21"/>
      <c r="D93" s="55"/>
      <c r="E93" s="279"/>
      <c r="F93" s="150"/>
      <c r="H93" s="181"/>
      <c r="I93" s="110"/>
    </row>
    <row r="94" spans="1:12" ht="13.95" customHeight="1" x14ac:dyDescent="0.3">
      <c r="B94" s="75" t="s">
        <v>148</v>
      </c>
      <c r="C94" s="76"/>
      <c r="D94" s="77"/>
      <c r="E94" s="311" t="s">
        <v>98</v>
      </c>
      <c r="F94" s="311" t="s">
        <v>99</v>
      </c>
      <c r="G94" s="339" t="s">
        <v>143</v>
      </c>
      <c r="H94" s="340"/>
      <c r="I94" s="344"/>
      <c r="J94" s="344"/>
      <c r="K94" s="315"/>
      <c r="L94" s="315"/>
    </row>
    <row r="95" spans="1:12" ht="13.95" customHeight="1" x14ac:dyDescent="0.3">
      <c r="B95" s="78" t="s">
        <v>158</v>
      </c>
      <c r="C95" s="15"/>
      <c r="D95" s="46"/>
      <c r="E95" s="269"/>
      <c r="F95" s="152"/>
      <c r="G95" s="310" t="s">
        <v>5</v>
      </c>
      <c r="H95" s="326" t="s">
        <v>6</v>
      </c>
      <c r="I95" s="316"/>
      <c r="J95" s="317"/>
      <c r="K95" s="315"/>
      <c r="L95" s="315"/>
    </row>
    <row r="96" spans="1:12" x14ac:dyDescent="0.3">
      <c r="A96" s="307"/>
      <c r="B96" s="79" t="s">
        <v>126</v>
      </c>
      <c r="C96" s="16" t="s">
        <v>155</v>
      </c>
      <c r="D96" s="56"/>
      <c r="E96" s="282">
        <f>(E15*E51-E99*E68/1000)/(E65+E67)*1000</f>
        <v>43.460027860471023</v>
      </c>
      <c r="F96" s="295">
        <f>F45*F51/F69*1000</f>
        <v>142.77000000000007</v>
      </c>
      <c r="G96" s="185">
        <f>ROUND(F96,2)-ROUND(E96,2)</f>
        <v>99.31</v>
      </c>
      <c r="H96" s="327">
        <f>ROUND(F96,2)/ROUND(E96,2)-1</f>
        <v>2.2850897376898298</v>
      </c>
      <c r="I96" s="316"/>
      <c r="J96" s="318"/>
      <c r="K96" s="315"/>
      <c r="L96" s="315"/>
    </row>
    <row r="97" spans="1:12" x14ac:dyDescent="0.3">
      <c r="A97" s="307"/>
      <c r="B97" s="79" t="s">
        <v>138</v>
      </c>
      <c r="C97" s="16" t="s">
        <v>155</v>
      </c>
      <c r="D97" s="56"/>
      <c r="E97" s="282" t="s">
        <v>2</v>
      </c>
      <c r="F97" s="295">
        <f>F44*F61/F74*1000</f>
        <v>35.96156961500504</v>
      </c>
      <c r="G97" s="242">
        <f>ROUND(F97,2)-ROUND(E96,2)</f>
        <v>-7.5</v>
      </c>
      <c r="H97" s="328">
        <f>ROUND(F97,2)/ROUND(E96,2)-1</f>
        <v>-0.17257248044178553</v>
      </c>
      <c r="I97" s="316"/>
      <c r="J97" s="318"/>
      <c r="K97" s="315"/>
      <c r="L97" s="315"/>
    </row>
    <row r="98" spans="1:12" x14ac:dyDescent="0.3">
      <c r="A98" s="307"/>
      <c r="B98" s="79" t="s">
        <v>51</v>
      </c>
      <c r="C98" s="16" t="s">
        <v>155</v>
      </c>
      <c r="D98" s="56"/>
      <c r="E98" s="282">
        <f>(E15*E51-E99*E68/1000)/(E65+E67)*1000</f>
        <v>43.460027860471023</v>
      </c>
      <c r="F98" s="295">
        <f>F96</f>
        <v>142.77000000000007</v>
      </c>
      <c r="G98" s="185">
        <f>ROUND(F98,2)-ROUND(E98,2)</f>
        <v>99.31</v>
      </c>
      <c r="H98" s="327">
        <f>ROUND(F98,2)/ROUND(E98,2)-1</f>
        <v>2.2850897376898298</v>
      </c>
      <c r="I98" s="316"/>
      <c r="J98" s="318"/>
      <c r="K98" s="315"/>
      <c r="L98" s="315"/>
    </row>
    <row r="99" spans="1:12" x14ac:dyDescent="0.3">
      <c r="A99" s="307"/>
      <c r="B99" s="79" t="s">
        <v>55</v>
      </c>
      <c r="C99" s="16" t="s">
        <v>155</v>
      </c>
      <c r="D99" s="56"/>
      <c r="E99" s="282">
        <f>E15*E51/SUM(E65,E67:E68)*1000*(1-E58)</f>
        <v>9.5590039696860352</v>
      </c>
      <c r="F99" s="295">
        <f>F45*F51/F69*1000*(1-F58)</f>
        <v>35.692500000000017</v>
      </c>
      <c r="G99" s="185">
        <f t="shared" ref="G99:G104" si="6">ROUND(F99,2)-ROUND(E99,2)</f>
        <v>26.129999999999995</v>
      </c>
      <c r="H99" s="327">
        <f t="shared" ref="H99:H104" si="7">ROUND(F99,2)/ROUND(E99,2)-1</f>
        <v>2.7332635983263596</v>
      </c>
      <c r="I99" s="316"/>
      <c r="J99" s="318"/>
      <c r="K99" s="315"/>
      <c r="L99" s="315"/>
    </row>
    <row r="100" spans="1:12" x14ac:dyDescent="0.3">
      <c r="A100" s="307"/>
      <c r="B100" s="79" t="s">
        <v>52</v>
      </c>
      <c r="C100" s="16" t="s">
        <v>155</v>
      </c>
      <c r="D100" s="57"/>
      <c r="E100" s="282">
        <f>(E15*E52-E101/0.66*E77/1000-E36)/SUM(E76,E78:E78)*1000</f>
        <v>152.95011664883799</v>
      </c>
      <c r="F100" s="295">
        <f>(F45*F52+(F96-F99)*F73/1000)/(F76+F78)*1000</f>
        <v>88.725017609563295</v>
      </c>
      <c r="G100" s="185">
        <f t="shared" si="6"/>
        <v>-64.219999999999985</v>
      </c>
      <c r="H100" s="327">
        <f t="shared" si="7"/>
        <v>-0.4198757763975155</v>
      </c>
      <c r="I100" s="316"/>
      <c r="J100" s="318"/>
      <c r="K100" s="315"/>
      <c r="L100" s="315"/>
    </row>
    <row r="101" spans="1:12" x14ac:dyDescent="0.3">
      <c r="A101" s="307"/>
      <c r="B101" s="79" t="s">
        <v>53</v>
      </c>
      <c r="C101" s="16" t="s">
        <v>155</v>
      </c>
      <c r="D101" s="57"/>
      <c r="E101" s="282">
        <f>(E16/E77*1000-E96)*0.66</f>
        <v>31.716427322226693</v>
      </c>
      <c r="F101" s="295">
        <f>F44*F62/F77*1000</f>
        <v>39.398816607562964</v>
      </c>
      <c r="G101" s="185">
        <f t="shared" si="6"/>
        <v>7.68</v>
      </c>
      <c r="H101" s="327">
        <f>ROUND(F101,2)/ROUND(E101,2)-1</f>
        <v>0.24211853720050436</v>
      </c>
      <c r="I101" s="316"/>
      <c r="J101" s="318"/>
      <c r="K101" s="315"/>
      <c r="L101" s="315"/>
    </row>
    <row r="102" spans="1:12" x14ac:dyDescent="0.3">
      <c r="B102" s="79" t="s">
        <v>150</v>
      </c>
      <c r="C102" s="16" t="s">
        <v>155</v>
      </c>
      <c r="D102" s="56"/>
      <c r="E102" s="282">
        <v>74.287470655926327</v>
      </c>
      <c r="F102" s="295">
        <f>(F45*F52+(F96-F99)*F73/1000)/(F76+F78)*1000+F23/F78*1000</f>
        <v>57.24344050725864</v>
      </c>
      <c r="G102" s="185">
        <f t="shared" si="6"/>
        <v>-17.050000000000004</v>
      </c>
      <c r="H102" s="327">
        <f t="shared" si="7"/>
        <v>-0.22950599003903627</v>
      </c>
      <c r="I102" s="316"/>
      <c r="J102" s="318"/>
      <c r="K102" s="315"/>
      <c r="L102" s="315"/>
    </row>
    <row r="103" spans="1:12" ht="15" x14ac:dyDescent="0.3">
      <c r="B103" s="200" t="s">
        <v>151</v>
      </c>
      <c r="C103" s="201" t="s">
        <v>155</v>
      </c>
      <c r="D103" s="202"/>
      <c r="E103" s="283">
        <v>101.60037552122736</v>
      </c>
      <c r="F103" s="299">
        <f>F102</f>
        <v>57.24344050725864</v>
      </c>
      <c r="G103" s="203">
        <f t="shared" si="6"/>
        <v>-44.359999999999992</v>
      </c>
      <c r="H103" s="329">
        <f t="shared" si="7"/>
        <v>-0.43661417322834639</v>
      </c>
      <c r="I103" s="313"/>
      <c r="J103" s="319"/>
      <c r="K103" s="208"/>
      <c r="L103" s="315"/>
    </row>
    <row r="104" spans="1:12" ht="15" x14ac:dyDescent="0.3">
      <c r="B104" s="200" t="s">
        <v>152</v>
      </c>
      <c r="C104" s="201" t="s">
        <v>155</v>
      </c>
      <c r="D104" s="202"/>
      <c r="E104" s="283">
        <v>47.293476470290571</v>
      </c>
      <c r="F104" s="299">
        <f>F102</f>
        <v>57.24344050725864</v>
      </c>
      <c r="G104" s="203">
        <f t="shared" si="6"/>
        <v>9.9500000000000028</v>
      </c>
      <c r="H104" s="329">
        <f t="shared" si="7"/>
        <v>0.2104038908860224</v>
      </c>
      <c r="I104" s="313"/>
      <c r="J104" s="319"/>
      <c r="K104" s="208"/>
      <c r="L104" s="315"/>
    </row>
    <row r="105" spans="1:12" x14ac:dyDescent="0.3">
      <c r="B105" s="200"/>
      <c r="C105" s="201"/>
      <c r="D105" s="202"/>
      <c r="E105" s="227"/>
      <c r="F105" s="227"/>
      <c r="G105" s="228"/>
      <c r="H105" s="330"/>
      <c r="I105" s="320"/>
      <c r="J105" s="318"/>
      <c r="K105" s="315"/>
      <c r="L105" s="315"/>
    </row>
    <row r="106" spans="1:12" ht="27.6" customHeight="1" x14ac:dyDescent="0.3">
      <c r="B106" s="78" t="s">
        <v>159</v>
      </c>
      <c r="C106" s="15"/>
      <c r="D106" s="46"/>
      <c r="E106" s="311" t="s">
        <v>98</v>
      </c>
      <c r="F106" s="311" t="s">
        <v>99</v>
      </c>
      <c r="G106" s="335" t="s">
        <v>143</v>
      </c>
      <c r="H106" s="336"/>
      <c r="I106" s="320"/>
      <c r="J106" s="318"/>
      <c r="K106" s="347"/>
      <c r="L106" s="348"/>
    </row>
    <row r="107" spans="1:12" x14ac:dyDescent="0.3">
      <c r="B107" s="78"/>
      <c r="C107" s="15"/>
      <c r="D107" s="46"/>
      <c r="E107" s="269"/>
      <c r="F107" s="152"/>
      <c r="G107" s="310" t="s">
        <v>5</v>
      </c>
      <c r="H107" s="326" t="s">
        <v>6</v>
      </c>
      <c r="I107" s="320"/>
      <c r="J107" s="318"/>
      <c r="K107" s="321"/>
      <c r="L107" s="321"/>
    </row>
    <row r="108" spans="1:12" x14ac:dyDescent="0.3">
      <c r="B108" s="79" t="s">
        <v>52</v>
      </c>
      <c r="C108" s="16" t="s">
        <v>3</v>
      </c>
      <c r="D108" s="56"/>
      <c r="E108" s="284">
        <v>0</v>
      </c>
      <c r="F108" s="295">
        <f>F121</f>
        <v>5.5493940363058436E-2</v>
      </c>
      <c r="G108" s="185">
        <f>ROUND(F108,2)-ROUND(E108,2)</f>
        <v>0.06</v>
      </c>
      <c r="H108" s="327" t="s">
        <v>2</v>
      </c>
      <c r="I108" s="316"/>
      <c r="J108" s="318"/>
      <c r="K108" s="313"/>
      <c r="L108" s="322"/>
    </row>
    <row r="109" spans="1:12" x14ac:dyDescent="0.3">
      <c r="B109" s="79" t="s">
        <v>53</v>
      </c>
      <c r="C109" s="16" t="s">
        <v>3</v>
      </c>
      <c r="D109" s="56"/>
      <c r="E109" s="284">
        <f>(E16/E77*1000-E96-E101)*E77/E86</f>
        <v>6.8622815478999566E-2</v>
      </c>
      <c r="F109" s="295">
        <f>F121</f>
        <v>5.5493940363058436E-2</v>
      </c>
      <c r="G109" s="185">
        <f>ROUND(F109,2)-ROUND(E109,2)</f>
        <v>-1.0000000000000009E-2</v>
      </c>
      <c r="H109" s="327">
        <f>ROUND(F109,2)/ROUND(E109,2)-1</f>
        <v>-0.14285714285714302</v>
      </c>
      <c r="I109" s="316"/>
      <c r="J109" s="318"/>
      <c r="K109" s="313"/>
      <c r="L109" s="322"/>
    </row>
    <row r="110" spans="1:12" ht="15" x14ac:dyDescent="0.3">
      <c r="B110" s="79" t="s">
        <v>153</v>
      </c>
      <c r="C110" s="16" t="s">
        <v>3</v>
      </c>
      <c r="D110" s="56"/>
      <c r="E110" s="284">
        <f>E124</f>
        <v>0.68658608245486952</v>
      </c>
      <c r="F110" s="295">
        <f>IF(F56=0%,F124,F121+F124)</f>
        <v>0.73545229897186171</v>
      </c>
      <c r="G110" s="185">
        <f t="shared" ref="G110:G111" si="8">ROUND(F110,2)-ROUND(E110,2)</f>
        <v>5.0000000000000044E-2</v>
      </c>
      <c r="H110" s="327">
        <f t="shared" ref="H110:H111" si="9">ROUND(F110,2)/ROUND(E110,2)-1</f>
        <v>7.2463768115942129E-2</v>
      </c>
      <c r="I110" s="316"/>
      <c r="J110" s="318"/>
      <c r="K110" s="313"/>
      <c r="L110" s="323"/>
    </row>
    <row r="111" spans="1:12" ht="15" x14ac:dyDescent="0.3">
      <c r="B111" s="79" t="s">
        <v>154</v>
      </c>
      <c r="C111" s="16" t="s">
        <v>3</v>
      </c>
      <c r="D111" s="56"/>
      <c r="E111" s="284">
        <f>E125</f>
        <v>0.18131803128346102</v>
      </c>
      <c r="F111" s="295">
        <f>IF(F56=0%,F125,F121+F125)</f>
        <v>7.6438536975903582E-2</v>
      </c>
      <c r="G111" s="185">
        <f t="shared" si="8"/>
        <v>-9.9999999999999992E-2</v>
      </c>
      <c r="H111" s="327">
        <f t="shared" si="9"/>
        <v>-0.55555555555555558</v>
      </c>
      <c r="I111" s="316"/>
      <c r="J111" s="318"/>
      <c r="K111" s="313"/>
      <c r="L111" s="323"/>
    </row>
    <row r="112" spans="1:12" x14ac:dyDescent="0.3">
      <c r="B112" s="79"/>
      <c r="C112" s="16"/>
      <c r="D112" s="56"/>
      <c r="E112" s="285"/>
      <c r="F112" s="229"/>
      <c r="G112" s="229"/>
      <c r="H112" s="331"/>
      <c r="I112" s="320"/>
      <c r="J112" s="318"/>
      <c r="K112" s="315"/>
      <c r="L112" s="315"/>
    </row>
    <row r="113" spans="2:15" ht="15.6" customHeight="1" x14ac:dyDescent="0.3">
      <c r="B113" s="78" t="s">
        <v>149</v>
      </c>
      <c r="C113" s="15"/>
      <c r="D113" s="46"/>
      <c r="E113" s="311" t="s">
        <v>98</v>
      </c>
      <c r="F113" s="311" t="s">
        <v>99</v>
      </c>
      <c r="G113" s="335" t="s">
        <v>143</v>
      </c>
      <c r="H113" s="336"/>
      <c r="I113" s="320"/>
      <c r="J113" s="318"/>
      <c r="K113" s="315"/>
      <c r="L113" s="315"/>
    </row>
    <row r="114" spans="2:15" x14ac:dyDescent="0.3">
      <c r="B114" s="78"/>
      <c r="C114" s="15"/>
      <c r="D114" s="46"/>
      <c r="E114" s="269"/>
      <c r="F114" s="29"/>
      <c r="G114" s="310" t="s">
        <v>5</v>
      </c>
      <c r="H114" s="326" t="s">
        <v>6</v>
      </c>
      <c r="I114" s="320"/>
      <c r="J114" s="318"/>
      <c r="K114" s="315"/>
      <c r="L114" s="315"/>
    </row>
    <row r="115" spans="2:15" ht="15" x14ac:dyDescent="0.3">
      <c r="B115" s="79" t="s">
        <v>153</v>
      </c>
      <c r="C115" s="16" t="s">
        <v>155</v>
      </c>
      <c r="D115" s="56"/>
      <c r="E115" s="282">
        <f>E19/(E88+E89)*1000</f>
        <v>63.170029326473269</v>
      </c>
      <c r="F115" s="295">
        <f>(F33-(F32*F20))/F88*1000</f>
        <v>50.329649871514505</v>
      </c>
      <c r="G115" s="185">
        <f>ROUND(F115,2)-ROUND(E115,2)</f>
        <v>-12.840000000000003</v>
      </c>
      <c r="H115" s="327">
        <f>ROUND(F115,2)/ROUND(E115,2)-1</f>
        <v>-0.20326104163368697</v>
      </c>
      <c r="I115" s="316"/>
      <c r="J115" s="318"/>
      <c r="K115" s="315"/>
      <c r="L115" s="315"/>
    </row>
    <row r="116" spans="2:15" ht="17.399999999999999" customHeight="1" thickBot="1" x14ac:dyDescent="0.35">
      <c r="B116" s="155" t="s">
        <v>154</v>
      </c>
      <c r="C116" s="186" t="s">
        <v>155</v>
      </c>
      <c r="D116" s="243"/>
      <c r="E116" s="286">
        <f>E115</f>
        <v>63.170029326473269</v>
      </c>
      <c r="F116" s="296">
        <f>F32*F20/F89*1000</f>
        <v>6.5733205202547467</v>
      </c>
      <c r="G116" s="187">
        <f>ROUND(F116,2)-ROUND(E116,2)</f>
        <v>-56.6</v>
      </c>
      <c r="H116" s="332">
        <f>ROUND(F116,2)/ROUND(E116,2)-1</f>
        <v>-0.89599493430425836</v>
      </c>
      <c r="I116" s="316"/>
      <c r="J116" s="318"/>
      <c r="K116" s="315"/>
      <c r="L116" s="315"/>
    </row>
    <row r="117" spans="2:15" x14ac:dyDescent="0.3">
      <c r="B117" s="240"/>
      <c r="C117" s="345"/>
      <c r="D117" s="345"/>
      <c r="E117" s="345"/>
      <c r="F117" s="345"/>
      <c r="G117" s="345"/>
      <c r="H117" s="345"/>
      <c r="I117" s="313"/>
      <c r="J117" s="324"/>
      <c r="K117" s="315"/>
      <c r="L117" s="315"/>
    </row>
    <row r="118" spans="2:15" x14ac:dyDescent="0.3">
      <c r="B118" s="240"/>
      <c r="C118" s="346"/>
      <c r="D118" s="346"/>
      <c r="E118" s="346"/>
      <c r="F118" s="346"/>
      <c r="G118" s="346"/>
      <c r="H118" s="346"/>
      <c r="I118" s="313"/>
      <c r="J118" s="325"/>
      <c r="K118" s="315"/>
      <c r="L118" s="315"/>
    </row>
    <row r="119" spans="2:15" x14ac:dyDescent="0.3">
      <c r="B119" s="206" t="s">
        <v>160</v>
      </c>
      <c r="C119" s="231"/>
      <c r="D119" s="202"/>
      <c r="E119" s="287"/>
      <c r="F119" s="232"/>
      <c r="G119" s="233"/>
      <c r="H119" s="234"/>
      <c r="I119" s="314"/>
      <c r="J119" s="166"/>
      <c r="K119" s="166"/>
      <c r="L119" s="166"/>
    </row>
    <row r="120" spans="2:15" x14ac:dyDescent="0.3">
      <c r="B120" s="207" t="s">
        <v>156</v>
      </c>
      <c r="C120" s="201"/>
      <c r="D120" s="202"/>
      <c r="E120" s="287"/>
      <c r="F120" s="227"/>
      <c r="G120" s="228"/>
      <c r="H120" s="235"/>
      <c r="I120" s="314"/>
      <c r="J120" s="166"/>
      <c r="K120" s="166"/>
      <c r="L120" s="166"/>
    </row>
    <row r="121" spans="2:15" x14ac:dyDescent="0.3">
      <c r="B121" s="236" t="s">
        <v>161</v>
      </c>
      <c r="C121" s="16" t="s">
        <v>3</v>
      </c>
      <c r="D121" s="56"/>
      <c r="E121" s="284" t="s">
        <v>2</v>
      </c>
      <c r="F121" s="297">
        <f>IF(F56=0%,"N/A",F56*F40/(F83/1000))</f>
        <v>5.5493940363058436E-2</v>
      </c>
      <c r="G121" s="282" t="s">
        <v>2</v>
      </c>
      <c r="H121" s="282" t="s">
        <v>2</v>
      </c>
      <c r="I121" s="313"/>
      <c r="J121" s="166"/>
      <c r="K121" s="166"/>
      <c r="L121" s="166"/>
    </row>
    <row r="122" spans="2:15" x14ac:dyDescent="0.3">
      <c r="B122" s="236"/>
      <c r="C122" s="16"/>
      <c r="D122" s="56"/>
      <c r="E122" s="285"/>
      <c r="F122" s="230"/>
      <c r="G122" s="229"/>
      <c r="H122" s="237"/>
      <c r="I122" s="313"/>
      <c r="J122" s="166"/>
      <c r="K122" s="166"/>
      <c r="L122" s="166"/>
    </row>
    <row r="123" spans="2:15" x14ac:dyDescent="0.3">
      <c r="B123" s="207" t="s">
        <v>157</v>
      </c>
      <c r="C123" s="201"/>
      <c r="D123" s="202"/>
      <c r="E123" s="287"/>
      <c r="F123" s="227"/>
      <c r="G123" s="228"/>
      <c r="H123" s="235"/>
      <c r="I123" s="313"/>
      <c r="J123" s="166"/>
      <c r="K123" s="166"/>
      <c r="L123" s="166"/>
    </row>
    <row r="124" spans="2:15" ht="15" x14ac:dyDescent="0.3">
      <c r="B124" s="236" t="s">
        <v>162</v>
      </c>
      <c r="C124" s="16" t="s">
        <v>3</v>
      </c>
      <c r="D124" s="56"/>
      <c r="E124" s="288">
        <v>0.68658608245486952</v>
      </c>
      <c r="F124" s="297">
        <f>(F31-F33-F32*(1-F20))/F91*1000</f>
        <v>0.67995835860880327</v>
      </c>
      <c r="G124" s="185">
        <f>ROUND(F124,2)-ROUND(E124,2)</f>
        <v>-9.9999999999998979E-3</v>
      </c>
      <c r="H124" s="184">
        <f>ROUND(F124,2)/ROUND(E124,2)-1</f>
        <v>-1.4492753623188248E-2</v>
      </c>
      <c r="I124" s="313"/>
      <c r="J124" s="166"/>
      <c r="K124" s="166"/>
      <c r="L124" s="166"/>
    </row>
    <row r="125" spans="2:15" ht="15.6" customHeight="1" x14ac:dyDescent="0.3">
      <c r="B125" s="238" t="s">
        <v>163</v>
      </c>
      <c r="C125" s="209" t="s">
        <v>3</v>
      </c>
      <c r="D125" s="239"/>
      <c r="E125" s="288">
        <v>0.18131803128346102</v>
      </c>
      <c r="F125" s="297">
        <f>F32*(1-F20)/F92*1000</f>
        <v>2.0944596612845142E-2</v>
      </c>
      <c r="G125" s="185">
        <f>ROUND(F125,2)-ROUND(E125,2)</f>
        <v>-0.16</v>
      </c>
      <c r="H125" s="184">
        <f>ROUND(F125,2)/ROUND(E125,2)-1</f>
        <v>-0.88888888888888884</v>
      </c>
      <c r="I125" s="313"/>
      <c r="J125" s="166"/>
      <c r="K125" s="166"/>
      <c r="L125" s="166"/>
    </row>
    <row r="127" spans="2:15" ht="39.6" customHeight="1" x14ac:dyDescent="0.3">
      <c r="B127" s="341" t="s">
        <v>168</v>
      </c>
      <c r="C127" s="341"/>
      <c r="D127" s="341"/>
      <c r="E127" s="341"/>
      <c r="F127" s="341"/>
      <c r="G127" s="341"/>
      <c r="H127" s="341"/>
    </row>
    <row r="128" spans="2:15" ht="10.199999999999999" customHeight="1" x14ac:dyDescent="0.3">
      <c r="B128" s="205"/>
      <c r="C128" s="205"/>
      <c r="D128" s="205"/>
      <c r="E128" s="205"/>
      <c r="F128" s="205"/>
      <c r="G128" s="205"/>
      <c r="H128" s="205"/>
      <c r="I128" s="110"/>
      <c r="J128" s="110"/>
      <c r="K128" s="110"/>
      <c r="L128" s="110"/>
      <c r="M128" s="110"/>
      <c r="N128" s="110"/>
      <c r="O128" s="110"/>
    </row>
    <row r="129" spans="2:15" ht="30.6" customHeight="1" x14ac:dyDescent="0.3">
      <c r="B129" s="341" t="s">
        <v>167</v>
      </c>
      <c r="C129" s="341"/>
      <c r="D129" s="341"/>
      <c r="E129" s="341"/>
      <c r="F129" s="341"/>
      <c r="G129" s="341"/>
      <c r="H129" s="341"/>
      <c r="I129" s="110"/>
      <c r="J129" s="110"/>
      <c r="K129" s="110"/>
      <c r="L129" s="110"/>
      <c r="M129" s="110"/>
      <c r="N129" s="110"/>
      <c r="O129" s="110"/>
    </row>
    <row r="130" spans="2:15" ht="13.2" customHeight="1" x14ac:dyDescent="0.3">
      <c r="B130" s="342" t="s">
        <v>164</v>
      </c>
      <c r="C130" s="342"/>
      <c r="D130" s="342"/>
      <c r="E130" s="342"/>
      <c r="F130" s="342"/>
      <c r="G130" s="342"/>
      <c r="H130" s="342"/>
      <c r="I130" s="342"/>
      <c r="J130" s="110"/>
      <c r="K130" s="110"/>
      <c r="L130" s="110"/>
      <c r="M130" s="110"/>
      <c r="N130" s="110"/>
      <c r="O130" s="110"/>
    </row>
    <row r="131" spans="2:15" ht="15.6" customHeight="1" x14ac:dyDescent="0.3">
      <c r="B131" s="342" t="s">
        <v>165</v>
      </c>
      <c r="C131" s="342"/>
      <c r="D131" s="342"/>
      <c r="E131" s="342"/>
      <c r="F131" s="342"/>
      <c r="G131" s="342"/>
      <c r="H131" s="342"/>
      <c r="I131" s="342"/>
      <c r="J131" s="110"/>
      <c r="K131" s="110"/>
      <c r="L131" s="110"/>
      <c r="M131" s="110"/>
      <c r="N131" s="110"/>
      <c r="O131" s="110"/>
    </row>
    <row r="132" spans="2:15" s="110" customFormat="1" ht="16.2" customHeight="1" x14ac:dyDescent="0.3">
      <c r="B132" s="205"/>
      <c r="C132" s="205"/>
      <c r="D132" s="205"/>
      <c r="E132" s="205"/>
      <c r="F132" s="205"/>
      <c r="G132" s="205"/>
      <c r="H132" s="205"/>
    </row>
    <row r="133" spans="2:15" s="110" customFormat="1" ht="16.2" customHeight="1" x14ac:dyDescent="0.3">
      <c r="B133" s="205"/>
      <c r="C133" s="205"/>
      <c r="D133" s="205"/>
      <c r="E133" s="205"/>
      <c r="F133" s="205"/>
      <c r="G133" s="205"/>
      <c r="H133" s="205"/>
    </row>
  </sheetData>
  <sheetProtection algorithmName="SHA-512" hashValue="ATXe9hSXkf/4yCU57yOyQ3ba2hMBNHy15oIhBnHvX7PU20/ozFdvK55NHZL5OvpP5QmATJKG//SwpEcRanRGUA==" saltValue="cS+WP0o1uxBL3VcpxVJnNA==" spinCount="100000" sheet="1" objects="1" scenarios="1"/>
  <mergeCells count="18">
    <mergeCell ref="B1:F1"/>
    <mergeCell ref="I94:J94"/>
    <mergeCell ref="C117:H117"/>
    <mergeCell ref="C118:H118"/>
    <mergeCell ref="K106:L106"/>
    <mergeCell ref="B8:C8"/>
    <mergeCell ref="G113:H113"/>
    <mergeCell ref="B25:B26"/>
    <mergeCell ref="B127:H127"/>
    <mergeCell ref="B129:H129"/>
    <mergeCell ref="B131:I131"/>
    <mergeCell ref="B130:I130"/>
    <mergeCell ref="B2:F2"/>
    <mergeCell ref="B4:F4"/>
    <mergeCell ref="G106:H106"/>
    <mergeCell ref="B23:B24"/>
    <mergeCell ref="E8:F8"/>
    <mergeCell ref="G94:H94"/>
  </mergeCells>
  <dataValidations count="23">
    <dataValidation type="decimal" allowBlank="1" showInputMessage="1" showErrorMessage="1" errorTitle="Netinkami duomenys" error="Privalo būti įvedamos reikšmės tarp 0% ir 100%." sqref="F55 F20">
      <formula1>0</formula1>
      <formula2>1</formula2>
    </dataValidation>
    <dataValidation type="decimal" allowBlank="1" showInputMessage="1" showErrorMessage="1" errorTitle="Invalid data" error="Values between 0 and 122350 (i.e. not greater than technical capacity) must be entered." sqref="F74">
      <formula1>0</formula1>
      <formula2>122350</formula2>
    </dataValidation>
    <dataValidation type="decimal" allowBlank="1" showErrorMessage="1" errorTitle="Invalid data" error="Values between 0% and 100% must be entered." sqref="F59">
      <formula1>0</formula1>
      <formula2>1</formula2>
    </dataValidation>
    <dataValidation type="decimal" showErrorMessage="1" errorTitle="Netinkami duomenys" error="Privalo būti įvedamos reikšmės tarp 0% ir 100%." sqref="F51">
      <formula1>0</formula1>
      <formula2>1</formula2>
    </dataValidation>
    <dataValidation type="decimal" allowBlank="1" showInputMessage="1" showErrorMessage="1" errorTitle="Netinkami duomenys" error="Privalo būti įvedamos reikšmės tarp 0 ir 67600 (t. y. ne didesnės nei techniniai pajėgumai)." sqref="F76">
      <formula1>0</formula1>
      <formula2>67600</formula2>
    </dataValidation>
    <dataValidation type="decimal" showErrorMessage="1" errorTitle="Netinkami duomenys" error="Privalo būti įvedamos reikšmės tarp 1 ir 114200 (t. y. ne didesnės nei techniniai pajėgumai)." sqref="F77">
      <formula1>1</formula1>
      <formula2>114200</formula2>
    </dataValidation>
    <dataValidation type="decimal" allowBlank="1" showErrorMessage="1" errorTitle="Invalid data" error="Value between 1 and 200000 must be entered." sqref="F81 F78">
      <formula1>1</formula1>
      <formula2>200000</formula2>
    </dataValidation>
    <dataValidation type="list" allowBlank="1" showInputMessage="1" showErrorMessage="1" sqref="D51 D55 D61 D58:D59">
      <formula1>#REF!</formula1>
    </dataValidation>
    <dataValidation type="decimal" allowBlank="1" showInputMessage="1" showErrorMessage="1" errorTitle="Invalid data" error="From 1 % to 100 % must be entered." sqref="E55">
      <formula1>0.01</formula1>
      <formula2>1</formula2>
    </dataValidation>
    <dataValidation type="decimal" allowBlank="1" showInputMessage="1" showErrorMessage="1" errorTitle="Invalid data" error="Values between 0 and the difference between 512870,16 (i.e. the sum of all technical capacity of all Entry points) and capacity booking at Sakiai GMS must be entered." sqref="E75:F75">
      <formula1>0</formula1>
      <formula2>512870.16-E78</formula2>
    </dataValidation>
    <dataValidation type="decimal" allowBlank="1" showInputMessage="1" showErrorMessage="1" errorTitle="Netinkami duomenys" error="Privalo būti įvedamos reikšmės tarp 0 ir 122350 (t. y. ne didesnės nei techniniai pajėgumai)." sqref="F73">
      <formula1>0</formula1>
      <formula2>122350</formula2>
    </dataValidation>
    <dataValidation type="decimal" allowBlank="1" showInputMessage="1" showErrorMessage="1" errorTitle="Invalid data" error="Values between 0 and the difference between 512870,16 (i.e. the sum of all technical capacity of all Entry points) and capacity booking at Sakiai GMS must be entered." sqref="F69">
      <formula1>0</formula1>
      <formula2>512870.16-F74</formula2>
    </dataValidation>
    <dataValidation type="decimal" allowBlank="1" showInputMessage="1" showErrorMessage="1" errorTitle="Invalid data" error="Values between 0 and the difference between 512870,16 (i.e. the sum of all technical capacity of all Entry points) and capacity booking at Sakiai GMS must be entered." sqref="F70">
      <formula1>0</formula1>
      <formula2>512870.16-F76</formula2>
    </dataValidation>
    <dataValidation type="whole" operator="lessThanOrEqual" allowBlank="1" showInputMessage="1" showErrorMessage="1" errorTitle="Netinkami duomenys" error="Privalo būti įvedamos reikšmės tarp 0 ir leidžiamųjų pajamų dalies, priskirtos Pagrindiniam tinklui." sqref="F16">
      <formula1>F15</formula1>
    </dataValidation>
    <dataValidation type="whole" allowBlank="1" showInputMessage="1" showErrorMessage="1" errorTitle="Netinkami duomenys" error="Privalo būti įvedamos reikšmės tarp 0 ir bendro transportuojamo kiekio Vidiniame išleidimo taške." sqref="F91">
      <formula1>0</formula1>
      <formula2>F90</formula2>
    </dataValidation>
    <dataValidation type="decimal" allowBlank="1" showInputMessage="1" showErrorMessage="1" errorTitle="Netinkami duomenys" error="Privalo būti įvedamos reikšmės tarp 0 ir leidžiamųjų pajamų dalies, priskirtos Lokaliam tinklui." sqref="F18">
      <formula1>0</formula1>
      <formula2>F17</formula2>
    </dataValidation>
    <dataValidation type="decimal" allowBlank="1" showInputMessage="1" showErrorMessage="1" errorTitle="Netinkami duomenys" error="Privalo būti įvedamos reikšmės tarp 0 ir 65100 (t. y. ne didesnės nei techniniai pajėgumai)." sqref="F72">
      <formula1>0</formula1>
      <formula2>65100</formula2>
    </dataValidation>
    <dataValidation type="decimal" allowBlank="1" showInputMessage="1" showErrorMessage="1" errorTitle="Netinkami duomenys" error="Privalo būti įvedamos reikšmės tarp 1 ir skirtumo tarp 325433,47 (t. y. Kotlovkos įleidimo taško techninių pajėgumų) ir užsakomų pajėgumų Šakių išleidimo taške." sqref="F71">
      <formula1>1</formula1>
      <formula2>325433.47-F77</formula2>
    </dataValidation>
    <dataValidation type="decimal" allowBlank="1" showErrorMessage="1" errorTitle="Netinkami duomenys" error="Privalo būti įvedamos reikšmės tarp 1 ir skirtumo tarp 200000 ir sistemos naudotojų Grupės &lt;= 10,4 TWh/metus užsakomų pajėgumų (Vidiniame išleidimo taške)." sqref="F80">
      <formula1>1</formula1>
      <formula2>200000-F79</formula2>
    </dataValidation>
    <dataValidation type="decimal" operator="greaterThanOrEqual" allowBlank="1" showInputMessage="1" showErrorMessage="1" errorTitle="Netinkami duomenys" error="Privalo būti įvedamos didesnės nei arba lygios leidžiamųjų pajamų dalies, priskirtos Lokalaus tinklo daliai, priskirtai sistemos naudotojų Grupei &gt; 10,4 TWh/metus, reikšmės." sqref="F17">
      <formula1>F18</formula1>
    </dataValidation>
    <dataValidation type="decimal" operator="greaterThanOrEqual" allowBlank="1" showInputMessage="1" showErrorMessage="1" errorTitle="Netinkami duomenys" error="Privalo būti įvedamos didesnės nei arba lygios leidžiamųjų pajamų daliai, priskirtai transportavimo į trečiąją šalį paslaugai, reikšmės. " sqref="F15">
      <formula1>F16</formula1>
    </dataValidation>
    <dataValidation type="decimal" allowBlank="1" showErrorMessage="1" errorTitle="Netinkami duomenys" error="Privalo būti įvedamos reikšmės tarp 0% ir 100%." sqref="F58">
      <formula1>0</formula1>
      <formula2>1</formula2>
    </dataValidation>
    <dataValidation type="decimal" allowBlank="1" showErrorMessage="1" errorTitle="Netinkami duomenys" error="Privalo būti įvedamos reikšmės tarp 0 ir 200000. " sqref="F79">
      <formula1>1</formula1>
      <formula2>200000</formula2>
    </dataValidation>
  </dataValidations>
  <pageMargins left="0.7" right="0.7" top="0.75" bottom="0.75" header="0.3" footer="0.3"/>
  <pageSetup paperSize="9" scale="2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R70"/>
  <sheetViews>
    <sheetView showGridLines="0" zoomScale="90" zoomScaleNormal="90" workbookViewId="0">
      <selection activeCell="B113" sqref="B113"/>
    </sheetView>
  </sheetViews>
  <sheetFormatPr defaultRowHeight="14.4" x14ac:dyDescent="0.3"/>
  <cols>
    <col min="1" max="1" width="2.109375" customWidth="1"/>
    <col min="2" max="2" width="59.6640625" customWidth="1"/>
    <col min="3" max="3" width="8.5546875" customWidth="1"/>
    <col min="4" max="30" width="6.6640625" customWidth="1"/>
    <col min="31" max="43" width="6.5546875" bestFit="1" customWidth="1"/>
  </cols>
  <sheetData>
    <row r="1" spans="2:31" ht="23.4" x14ac:dyDescent="0.3">
      <c r="B1" s="83" t="s">
        <v>8</v>
      </c>
      <c r="C1" s="177"/>
      <c r="D1" s="177"/>
      <c r="E1" s="177"/>
      <c r="F1" s="177"/>
      <c r="G1" s="177"/>
      <c r="H1" s="177"/>
      <c r="I1" s="177"/>
      <c r="J1" s="177"/>
      <c r="K1" s="177"/>
      <c r="L1" s="177"/>
      <c r="M1" s="177"/>
      <c r="N1" s="177"/>
      <c r="O1" s="177"/>
      <c r="P1" s="177"/>
      <c r="Q1" s="177"/>
      <c r="R1" s="177"/>
      <c r="S1" s="177"/>
      <c r="T1" s="177"/>
      <c r="U1" s="177"/>
      <c r="V1" s="177"/>
      <c r="W1" s="80"/>
    </row>
    <row r="2" spans="2:31" ht="10.95" customHeight="1" x14ac:dyDescent="0.3">
      <c r="B2" s="24" t="s">
        <v>7</v>
      </c>
      <c r="C2" s="4"/>
      <c r="D2" s="4"/>
      <c r="E2" s="4"/>
      <c r="F2" s="4"/>
      <c r="G2" s="4"/>
      <c r="H2" s="4"/>
      <c r="I2" s="4"/>
      <c r="J2" s="4"/>
      <c r="K2" s="4"/>
      <c r="L2" s="4"/>
      <c r="M2" s="4"/>
      <c r="N2" s="4"/>
      <c r="O2" s="4"/>
      <c r="P2" s="4"/>
      <c r="Q2" s="4"/>
      <c r="R2" s="4"/>
      <c r="S2" s="4"/>
      <c r="T2" s="27"/>
      <c r="U2" s="27"/>
      <c r="V2" s="27"/>
      <c r="W2" s="27"/>
    </row>
    <row r="3" spans="2:31" x14ac:dyDescent="0.3">
      <c r="B3" s="213" t="s">
        <v>56</v>
      </c>
      <c r="C3" s="3"/>
      <c r="D3" s="3"/>
      <c r="E3" s="3"/>
      <c r="F3" s="3"/>
      <c r="G3" s="3"/>
    </row>
    <row r="4" spans="2:31" x14ac:dyDescent="0.3">
      <c r="B4" s="10"/>
      <c r="C4" s="3"/>
      <c r="D4" s="3"/>
      <c r="E4" s="3"/>
      <c r="F4" s="3"/>
      <c r="G4" s="3"/>
    </row>
    <row r="5" spans="2:31" ht="16.2" customHeight="1" x14ac:dyDescent="0.3">
      <c r="B5" s="358" t="s">
        <v>177</v>
      </c>
      <c r="C5" s="358"/>
      <c r="D5" s="358"/>
      <c r="E5" s="358"/>
      <c r="F5" s="358"/>
      <c r="G5" s="358"/>
      <c r="H5" s="358"/>
      <c r="I5" s="358"/>
      <c r="J5" s="358"/>
      <c r="K5" s="358"/>
      <c r="L5" s="358"/>
      <c r="M5" s="358"/>
      <c r="N5" s="358"/>
      <c r="O5" s="358"/>
      <c r="P5" s="358"/>
      <c r="Q5" s="358"/>
      <c r="R5" s="358"/>
      <c r="S5" s="358"/>
      <c r="T5" s="84"/>
      <c r="U5" s="84"/>
      <c r="V5" s="84"/>
      <c r="W5" s="84"/>
      <c r="X5" s="84"/>
      <c r="Y5" s="84"/>
      <c r="Z5" s="84"/>
      <c r="AA5" s="84"/>
      <c r="AB5" s="84"/>
      <c r="AC5" s="84"/>
      <c r="AD5" s="84"/>
      <c r="AE5" s="84"/>
    </row>
    <row r="6" spans="2:31" s="110" customFormat="1" ht="6" customHeight="1" x14ac:dyDescent="0.3">
      <c r="B6" s="97"/>
      <c r="C6" s="97"/>
      <c r="D6" s="97"/>
      <c r="E6" s="97"/>
      <c r="F6" s="97"/>
      <c r="G6" s="97"/>
      <c r="H6" s="97"/>
      <c r="I6" s="97"/>
      <c r="J6" s="97"/>
      <c r="K6" s="97"/>
      <c r="L6" s="97"/>
      <c r="M6" s="97"/>
      <c r="N6" s="97"/>
      <c r="O6" s="97"/>
      <c r="P6" s="97"/>
      <c r="Q6" s="97"/>
      <c r="R6" s="97"/>
      <c r="S6" s="97"/>
    </row>
    <row r="7" spans="2:31" x14ac:dyDescent="0.3">
      <c r="B7" s="369" t="s">
        <v>9</v>
      </c>
      <c r="C7" s="369"/>
      <c r="D7" s="369"/>
      <c r="E7" s="369"/>
      <c r="F7" s="369"/>
      <c r="G7" s="369"/>
      <c r="H7" s="369"/>
      <c r="I7" s="369"/>
      <c r="J7" s="369"/>
      <c r="K7" s="369"/>
      <c r="L7" s="369"/>
      <c r="M7" s="369"/>
      <c r="N7" s="369"/>
      <c r="O7" s="369"/>
      <c r="P7" s="369"/>
      <c r="Q7" s="369"/>
      <c r="R7" s="369"/>
      <c r="S7" s="369"/>
      <c r="X7" s="8"/>
    </row>
    <row r="8" spans="2:31" ht="41.4" customHeight="1" x14ac:dyDescent="0.3">
      <c r="B8" s="370" t="s">
        <v>10</v>
      </c>
      <c r="C8" s="366" t="s">
        <v>11</v>
      </c>
      <c r="D8" s="366" t="s">
        <v>15</v>
      </c>
      <c r="E8" s="366"/>
      <c r="F8" s="366"/>
      <c r="G8" s="366"/>
      <c r="H8" s="367" t="s">
        <v>29</v>
      </c>
      <c r="I8" s="368"/>
      <c r="J8" s="368"/>
      <c r="K8" s="368"/>
      <c r="L8" s="368"/>
      <c r="M8" s="368"/>
      <c r="N8" s="368"/>
      <c r="O8" s="368"/>
      <c r="P8" s="368"/>
      <c r="Q8" s="368"/>
      <c r="R8" s="368"/>
      <c r="S8" s="368"/>
      <c r="T8" s="95"/>
      <c r="U8" s="95"/>
      <c r="V8" s="95"/>
      <c r="W8" s="95"/>
      <c r="X8" s="8"/>
    </row>
    <row r="9" spans="2:31" x14ac:dyDescent="0.3">
      <c r="B9" s="370"/>
      <c r="C9" s="366"/>
      <c r="D9" s="88" t="s">
        <v>35</v>
      </c>
      <c r="E9" s="88" t="s">
        <v>36</v>
      </c>
      <c r="F9" s="88" t="s">
        <v>37</v>
      </c>
      <c r="G9" s="88" t="s">
        <v>38</v>
      </c>
      <c r="H9" s="88" t="s">
        <v>16</v>
      </c>
      <c r="I9" s="88" t="s">
        <v>17</v>
      </c>
      <c r="J9" s="304" t="s">
        <v>18</v>
      </c>
      <c r="K9" s="304" t="s">
        <v>19</v>
      </c>
      <c r="L9" s="304" t="s">
        <v>20</v>
      </c>
      <c r="M9" s="304" t="s">
        <v>21</v>
      </c>
      <c r="N9" s="304" t="s">
        <v>22</v>
      </c>
      <c r="O9" s="304" t="s">
        <v>23</v>
      </c>
      <c r="P9" s="304" t="s">
        <v>24</v>
      </c>
      <c r="Q9" s="304" t="s">
        <v>25</v>
      </c>
      <c r="R9" s="304" t="s">
        <v>26</v>
      </c>
      <c r="S9" s="304" t="s">
        <v>27</v>
      </c>
      <c r="T9" s="28"/>
      <c r="U9" s="28"/>
      <c r="V9" s="28"/>
      <c r="W9" s="28"/>
    </row>
    <row r="10" spans="2:31" x14ac:dyDescent="0.3">
      <c r="B10" s="91">
        <v>2019</v>
      </c>
      <c r="C10" s="87">
        <f>SUM(H10:S10)</f>
        <v>365</v>
      </c>
      <c r="D10" s="103">
        <f>SUM(H10:J10)</f>
        <v>90</v>
      </c>
      <c r="E10" s="103">
        <f>SUM(K10:M10)</f>
        <v>91</v>
      </c>
      <c r="F10" s="103">
        <f>SUM(N10:P10)</f>
        <v>92</v>
      </c>
      <c r="G10" s="103">
        <f>SUM(Q10:S10)</f>
        <v>92</v>
      </c>
      <c r="H10" s="159">
        <v>31</v>
      </c>
      <c r="I10" s="159">
        <v>28</v>
      </c>
      <c r="J10" s="159">
        <v>31</v>
      </c>
      <c r="K10" s="159">
        <v>30</v>
      </c>
      <c r="L10" s="159">
        <v>31</v>
      </c>
      <c r="M10" s="159">
        <v>30</v>
      </c>
      <c r="N10" s="159">
        <v>31</v>
      </c>
      <c r="O10" s="159">
        <v>31</v>
      </c>
      <c r="P10" s="159">
        <v>30</v>
      </c>
      <c r="Q10" s="159">
        <v>31</v>
      </c>
      <c r="R10" s="159">
        <v>30</v>
      </c>
      <c r="S10" s="159">
        <v>31</v>
      </c>
      <c r="T10" s="28"/>
      <c r="U10" s="28"/>
      <c r="V10" s="28"/>
      <c r="W10" s="28"/>
    </row>
    <row r="11" spans="2:31" x14ac:dyDescent="0.3">
      <c r="B11" s="91">
        <v>2020</v>
      </c>
      <c r="C11" s="87">
        <f t="shared" ref="C11" si="0">SUM(H11:S11)</f>
        <v>366</v>
      </c>
      <c r="D11" s="103">
        <f t="shared" ref="D11" si="1">SUM(H11:J11)</f>
        <v>91</v>
      </c>
      <c r="E11" s="103">
        <f t="shared" ref="E11" si="2">SUM(K11:M11)</f>
        <v>91</v>
      </c>
      <c r="F11" s="103">
        <f t="shared" ref="F11" si="3">SUM(N11:P11)</f>
        <v>92</v>
      </c>
      <c r="G11" s="103">
        <f t="shared" ref="G11" si="4">SUM(Q11:S11)</f>
        <v>92</v>
      </c>
      <c r="H11" s="159">
        <v>31</v>
      </c>
      <c r="I11" s="159">
        <v>29</v>
      </c>
      <c r="J11" s="159">
        <v>31</v>
      </c>
      <c r="K11" s="159">
        <v>30</v>
      </c>
      <c r="L11" s="159">
        <v>31</v>
      </c>
      <c r="M11" s="159">
        <v>30</v>
      </c>
      <c r="N11" s="159">
        <v>31</v>
      </c>
      <c r="O11" s="159">
        <v>31</v>
      </c>
      <c r="P11" s="159">
        <v>30</v>
      </c>
      <c r="Q11" s="159">
        <v>31</v>
      </c>
      <c r="R11" s="159">
        <v>30</v>
      </c>
      <c r="S11" s="159">
        <v>31</v>
      </c>
      <c r="T11" s="28"/>
      <c r="U11" s="28"/>
      <c r="V11" s="28"/>
      <c r="W11" s="28"/>
    </row>
    <row r="12" spans="2:31" x14ac:dyDescent="0.3">
      <c r="B12" s="89"/>
      <c r="C12" s="93"/>
      <c r="D12" s="93"/>
      <c r="E12" s="93"/>
      <c r="F12" s="93"/>
      <c r="G12" s="93"/>
      <c r="H12" s="93"/>
      <c r="I12" s="93"/>
      <c r="J12" s="93"/>
      <c r="K12" s="93"/>
      <c r="L12" s="93"/>
      <c r="M12" s="93"/>
      <c r="N12" s="93"/>
      <c r="O12" s="93"/>
      <c r="P12" s="93"/>
      <c r="Q12" s="93"/>
      <c r="R12" s="93"/>
      <c r="S12" s="93"/>
      <c r="T12" s="28"/>
      <c r="U12" s="28"/>
      <c r="V12" s="28"/>
      <c r="W12" s="28"/>
    </row>
    <row r="13" spans="2:31" x14ac:dyDescent="0.3">
      <c r="B13" s="94" t="s">
        <v>32</v>
      </c>
      <c r="C13" s="94"/>
      <c r="D13" s="94"/>
      <c r="E13" s="94"/>
      <c r="F13" s="94"/>
      <c r="G13" s="94"/>
      <c r="H13" s="94"/>
      <c r="I13" s="94"/>
      <c r="J13" s="94"/>
      <c r="K13" s="94"/>
      <c r="L13" s="94"/>
      <c r="M13" s="173"/>
      <c r="N13" s="173"/>
      <c r="O13" s="97"/>
      <c r="P13" s="97"/>
      <c r="Q13" s="97"/>
      <c r="R13" s="97"/>
      <c r="S13" s="97"/>
      <c r="T13" s="98"/>
      <c r="U13" s="98"/>
      <c r="V13" s="98"/>
      <c r="W13" s="98"/>
      <c r="X13" s="98"/>
      <c r="Y13" s="98"/>
      <c r="Z13" s="98"/>
      <c r="AA13" s="98"/>
      <c r="AB13" s="98"/>
      <c r="AC13" s="98"/>
      <c r="AD13" s="98"/>
      <c r="AE13" s="98"/>
    </row>
    <row r="14" spans="2:31" ht="28.2" customHeight="1" x14ac:dyDescent="0.3">
      <c r="B14" s="370" t="s">
        <v>10</v>
      </c>
      <c r="C14" s="371"/>
      <c r="D14" s="362" t="s">
        <v>30</v>
      </c>
      <c r="E14" s="354"/>
      <c r="F14" s="354"/>
      <c r="G14" s="372"/>
      <c r="H14" s="362" t="s">
        <v>43</v>
      </c>
      <c r="I14" s="354"/>
      <c r="J14" s="354"/>
      <c r="K14" s="372"/>
      <c r="L14" s="373" t="s">
        <v>31</v>
      </c>
      <c r="M14" s="374"/>
      <c r="N14" s="375"/>
      <c r="O14" s="174"/>
      <c r="P14" s="100"/>
      <c r="Q14" s="100"/>
      <c r="R14" s="100"/>
      <c r="S14" s="100"/>
      <c r="T14" s="101"/>
      <c r="U14" s="100"/>
      <c r="V14" s="100"/>
      <c r="W14" s="100"/>
      <c r="X14" s="100"/>
      <c r="Y14" s="100"/>
      <c r="Z14" s="100"/>
      <c r="AA14" s="100"/>
      <c r="AB14" s="100"/>
      <c r="AC14" s="100"/>
      <c r="AD14" s="100"/>
      <c r="AE14" s="100"/>
    </row>
    <row r="15" spans="2:31" ht="14.4" customHeight="1" x14ac:dyDescent="0.3">
      <c r="B15" s="370"/>
      <c r="C15" s="371"/>
      <c r="D15" s="88" t="s">
        <v>12</v>
      </c>
      <c r="E15" s="88" t="s">
        <v>4</v>
      </c>
      <c r="F15" s="88" t="s">
        <v>13</v>
      </c>
      <c r="G15" s="172" t="s">
        <v>14</v>
      </c>
      <c r="H15" s="304" t="s">
        <v>12</v>
      </c>
      <c r="I15" s="304" t="s">
        <v>4</v>
      </c>
      <c r="J15" s="304" t="s">
        <v>13</v>
      </c>
      <c r="K15" s="304" t="s">
        <v>14</v>
      </c>
      <c r="L15" s="304" t="s">
        <v>12</v>
      </c>
      <c r="M15" s="304" t="s">
        <v>4</v>
      </c>
      <c r="N15" s="172" t="s">
        <v>28</v>
      </c>
      <c r="O15" s="116"/>
      <c r="P15" s="102"/>
      <c r="Q15" s="102"/>
      <c r="R15" s="102"/>
      <c r="S15" s="102"/>
      <c r="T15" s="102"/>
      <c r="U15" s="102"/>
      <c r="V15" s="102"/>
      <c r="W15" s="102"/>
      <c r="X15" s="102"/>
      <c r="Y15" s="102"/>
      <c r="Z15" s="102"/>
      <c r="AA15" s="102"/>
      <c r="AB15" s="102"/>
      <c r="AC15" s="102"/>
      <c r="AD15" s="102"/>
      <c r="AE15" s="102"/>
    </row>
    <row r="16" spans="2:31" x14ac:dyDescent="0.3">
      <c r="B16" s="91">
        <v>2019</v>
      </c>
      <c r="C16" s="92"/>
      <c r="D16" s="104">
        <v>1.25</v>
      </c>
      <c r="E16" s="104">
        <v>1.5</v>
      </c>
      <c r="F16" s="104">
        <v>2.25</v>
      </c>
      <c r="G16" s="104">
        <v>2.25</v>
      </c>
      <c r="H16" s="103">
        <v>1.25</v>
      </c>
      <c r="I16" s="104">
        <v>1.4</v>
      </c>
      <c r="J16" s="104">
        <v>1.5</v>
      </c>
      <c r="K16" s="104">
        <v>1.5</v>
      </c>
      <c r="L16" s="104">
        <v>1.25</v>
      </c>
      <c r="M16" s="104">
        <v>1.5</v>
      </c>
      <c r="N16" s="104">
        <v>2.25</v>
      </c>
      <c r="O16" s="175"/>
      <c r="P16" s="99"/>
      <c r="Q16" s="99"/>
      <c r="R16" s="99"/>
      <c r="S16" s="99"/>
      <c r="T16" s="93"/>
      <c r="U16" s="93"/>
      <c r="V16" s="93"/>
      <c r="W16" s="93"/>
      <c r="X16" s="93"/>
      <c r="Y16" s="93"/>
      <c r="Z16" s="93"/>
      <c r="AA16" s="93"/>
      <c r="AB16" s="93"/>
      <c r="AC16" s="93"/>
      <c r="AD16" s="93"/>
      <c r="AE16" s="93"/>
    </row>
    <row r="17" spans="2:43" x14ac:dyDescent="0.3">
      <c r="B17" s="91">
        <v>2020</v>
      </c>
      <c r="C17" s="92"/>
      <c r="D17" s="160">
        <v>1.1000000000000001</v>
      </c>
      <c r="E17" s="160">
        <v>1.25</v>
      </c>
      <c r="F17" s="160">
        <v>1.5</v>
      </c>
      <c r="G17" s="160">
        <v>1.5</v>
      </c>
      <c r="H17" s="160">
        <v>1.1000000000000001</v>
      </c>
      <c r="I17" s="160">
        <v>1.25</v>
      </c>
      <c r="J17" s="160">
        <v>1.5</v>
      </c>
      <c r="K17" s="160">
        <v>1.5</v>
      </c>
      <c r="L17" s="160">
        <v>1.25</v>
      </c>
      <c r="M17" s="160">
        <v>1.5</v>
      </c>
      <c r="N17" s="160">
        <v>3</v>
      </c>
      <c r="O17" s="175"/>
      <c r="P17" s="99"/>
      <c r="Q17" s="99"/>
      <c r="R17" s="99"/>
      <c r="S17" s="99"/>
      <c r="T17" s="93"/>
      <c r="U17" s="93"/>
      <c r="V17" s="93"/>
      <c r="W17" s="93"/>
      <c r="X17" s="93"/>
      <c r="Y17" s="93"/>
      <c r="Z17" s="93"/>
      <c r="AA17" s="93"/>
      <c r="AB17" s="93"/>
      <c r="AC17" s="93"/>
      <c r="AD17" s="93"/>
      <c r="AE17" s="93"/>
    </row>
    <row r="18" spans="2:43" x14ac:dyDescent="0.3">
      <c r="B18" s="89"/>
      <c r="C18" s="93"/>
      <c r="D18" s="93"/>
      <c r="E18" s="93"/>
      <c r="F18" s="93"/>
      <c r="G18" s="93"/>
      <c r="H18" s="99"/>
      <c r="I18" s="99"/>
      <c r="J18" s="99"/>
      <c r="K18" s="99"/>
      <c r="L18" s="99"/>
      <c r="M18" s="99"/>
      <c r="N18" s="99"/>
      <c r="O18" s="99"/>
      <c r="P18" s="99"/>
      <c r="Q18" s="99"/>
      <c r="R18" s="99"/>
      <c r="S18" s="99"/>
      <c r="T18" s="93"/>
      <c r="U18" s="93"/>
      <c r="V18" s="93"/>
      <c r="W18" s="93"/>
      <c r="X18" s="93"/>
      <c r="Y18" s="93"/>
      <c r="Z18" s="93"/>
      <c r="AA18" s="93"/>
      <c r="AB18" s="93"/>
      <c r="AC18" s="93"/>
      <c r="AD18" s="93"/>
      <c r="AE18" s="93"/>
    </row>
    <row r="19" spans="2:43" x14ac:dyDescent="0.3">
      <c r="B19" s="73" t="s">
        <v>57</v>
      </c>
      <c r="C19" s="94"/>
      <c r="D19" s="94"/>
      <c r="E19" s="94"/>
      <c r="F19" s="94"/>
      <c r="G19" s="94"/>
      <c r="H19" s="94"/>
      <c r="I19" s="94"/>
      <c r="J19" s="94"/>
      <c r="K19" s="94"/>
      <c r="L19" s="94"/>
      <c r="M19" s="94"/>
      <c r="N19" s="94"/>
      <c r="O19" s="94"/>
      <c r="P19" s="94"/>
      <c r="Q19" s="94"/>
      <c r="R19" s="94"/>
      <c r="S19" s="94"/>
      <c r="T19" s="96"/>
      <c r="U19" s="96"/>
      <c r="V19" s="96"/>
      <c r="W19" s="96"/>
      <c r="X19" s="96"/>
      <c r="Y19" s="96"/>
      <c r="Z19" s="96"/>
      <c r="AA19" s="96"/>
      <c r="AB19" s="96"/>
      <c r="AC19" s="96"/>
      <c r="AD19" s="96"/>
      <c r="AE19" s="96"/>
    </row>
    <row r="20" spans="2:43" x14ac:dyDescent="0.3">
      <c r="B20" s="73" t="s">
        <v>58</v>
      </c>
      <c r="C20" s="94"/>
      <c r="D20" s="105"/>
      <c r="E20" s="105"/>
      <c r="F20" s="105"/>
      <c r="G20" s="105"/>
      <c r="H20" s="176"/>
      <c r="I20" s="105"/>
      <c r="J20" s="105"/>
      <c r="K20" s="105"/>
      <c r="L20" s="105"/>
      <c r="M20" s="105"/>
      <c r="N20" s="105"/>
      <c r="O20" s="105"/>
      <c r="P20" s="105"/>
      <c r="Q20" s="105"/>
      <c r="R20" s="105"/>
      <c r="S20" s="105"/>
      <c r="T20" s="106"/>
      <c r="U20" s="106"/>
      <c r="V20" s="106"/>
      <c r="W20" s="106"/>
      <c r="X20" s="106"/>
      <c r="Y20" s="106"/>
      <c r="Z20" s="106"/>
      <c r="AA20" s="106"/>
      <c r="AB20" s="106"/>
      <c r="AC20" s="106"/>
      <c r="AD20" s="106"/>
      <c r="AE20" s="106"/>
    </row>
    <row r="21" spans="2:43" ht="14.4" customHeight="1" x14ac:dyDescent="0.3">
      <c r="B21" s="370" t="s">
        <v>10</v>
      </c>
      <c r="C21" s="371"/>
      <c r="D21" s="363" t="s">
        <v>60</v>
      </c>
      <c r="E21" s="364"/>
      <c r="F21" s="364"/>
      <c r="G21" s="365"/>
      <c r="H21" s="363" t="s">
        <v>33</v>
      </c>
      <c r="I21" s="364"/>
      <c r="J21" s="364"/>
      <c r="K21" s="364"/>
      <c r="L21" s="364"/>
      <c r="M21" s="364"/>
      <c r="N21" s="364"/>
      <c r="O21" s="364"/>
      <c r="P21" s="364"/>
      <c r="Q21" s="364"/>
      <c r="R21" s="364"/>
      <c r="S21" s="365"/>
      <c r="T21" s="363" t="s">
        <v>34</v>
      </c>
      <c r="U21" s="364"/>
      <c r="V21" s="364"/>
      <c r="W21" s="364"/>
      <c r="X21" s="364"/>
      <c r="Y21" s="364"/>
      <c r="Z21" s="364"/>
      <c r="AA21" s="364"/>
      <c r="AB21" s="364"/>
      <c r="AC21" s="364"/>
      <c r="AD21" s="364"/>
      <c r="AE21" s="365"/>
    </row>
    <row r="22" spans="2:43" x14ac:dyDescent="0.3">
      <c r="B22" s="370"/>
      <c r="C22" s="371"/>
      <c r="D22" s="304" t="s">
        <v>35</v>
      </c>
      <c r="E22" s="304" t="s">
        <v>36</v>
      </c>
      <c r="F22" s="304" t="s">
        <v>37</v>
      </c>
      <c r="G22" s="304" t="s">
        <v>38</v>
      </c>
      <c r="H22" s="304" t="s">
        <v>16</v>
      </c>
      <c r="I22" s="304" t="s">
        <v>17</v>
      </c>
      <c r="J22" s="304" t="s">
        <v>18</v>
      </c>
      <c r="K22" s="304" t="s">
        <v>19</v>
      </c>
      <c r="L22" s="304" t="s">
        <v>20</v>
      </c>
      <c r="M22" s="304" t="s">
        <v>21</v>
      </c>
      <c r="N22" s="304" t="s">
        <v>22</v>
      </c>
      <c r="O22" s="304" t="s">
        <v>23</v>
      </c>
      <c r="P22" s="304" t="s">
        <v>24</v>
      </c>
      <c r="Q22" s="304" t="s">
        <v>25</v>
      </c>
      <c r="R22" s="304" t="s">
        <v>26</v>
      </c>
      <c r="S22" s="304" t="s">
        <v>27</v>
      </c>
      <c r="T22" s="304" t="s">
        <v>16</v>
      </c>
      <c r="U22" s="304" t="s">
        <v>17</v>
      </c>
      <c r="V22" s="304" t="s">
        <v>18</v>
      </c>
      <c r="W22" s="304" t="s">
        <v>19</v>
      </c>
      <c r="X22" s="304" t="s">
        <v>20</v>
      </c>
      <c r="Y22" s="304" t="s">
        <v>21</v>
      </c>
      <c r="Z22" s="304" t="s">
        <v>22</v>
      </c>
      <c r="AA22" s="304" t="s">
        <v>23</v>
      </c>
      <c r="AB22" s="304" t="s">
        <v>24</v>
      </c>
      <c r="AC22" s="304" t="s">
        <v>25</v>
      </c>
      <c r="AD22" s="304" t="s">
        <v>26</v>
      </c>
      <c r="AE22" s="304" t="s">
        <v>27</v>
      </c>
    </row>
    <row r="23" spans="2:43" x14ac:dyDescent="0.3">
      <c r="B23" s="91">
        <v>2019</v>
      </c>
      <c r="C23" s="92"/>
      <c r="D23" s="104">
        <v>3.0822222222222218</v>
      </c>
      <c r="E23" s="104">
        <v>1.1230769230769231</v>
      </c>
      <c r="F23" s="104">
        <v>0.95217391304347809</v>
      </c>
      <c r="G23" s="104">
        <v>1.9043478260869562</v>
      </c>
      <c r="H23" s="104">
        <v>2.7473118279569886</v>
      </c>
      <c r="I23" s="104">
        <v>3.0416666666666661</v>
      </c>
      <c r="J23" s="104">
        <v>1.9623655913978493</v>
      </c>
      <c r="K23" s="104">
        <v>1.6222222222222225</v>
      </c>
      <c r="L23" s="104">
        <v>1.0204301075268816</v>
      </c>
      <c r="M23" s="104">
        <v>1.0544444444444445</v>
      </c>
      <c r="N23" s="104">
        <v>1.0204301075268816</v>
      </c>
      <c r="O23" s="104">
        <v>1.0204301075268816</v>
      </c>
      <c r="P23" s="104">
        <v>1.0544444444444445</v>
      </c>
      <c r="Q23" s="104">
        <v>1.5698924731182797</v>
      </c>
      <c r="R23" s="104">
        <v>1.6222222222222225</v>
      </c>
      <c r="S23" s="104">
        <v>2.7473118279569886</v>
      </c>
      <c r="T23" s="104">
        <v>2.8388888888888881</v>
      </c>
      <c r="U23" s="104">
        <v>2.8388888888888881</v>
      </c>
      <c r="V23" s="104">
        <v>2.0277777777777777</v>
      </c>
      <c r="W23" s="104">
        <v>1.622222222222222</v>
      </c>
      <c r="X23" s="104">
        <v>1.0544444444444443</v>
      </c>
      <c r="Y23" s="104">
        <v>1.0544444444444443</v>
      </c>
      <c r="Z23" s="104">
        <v>1.0544444444444443</v>
      </c>
      <c r="AA23" s="104">
        <v>1.0544444444444443</v>
      </c>
      <c r="AB23" s="104">
        <v>1.0544444444444443</v>
      </c>
      <c r="AC23" s="104">
        <v>1.622222222222222</v>
      </c>
      <c r="AD23" s="104">
        <v>1.622222222222222</v>
      </c>
      <c r="AE23" s="104">
        <v>2.8388888888888881</v>
      </c>
    </row>
    <row r="24" spans="2:43" x14ac:dyDescent="0.3">
      <c r="B24" s="91">
        <v>2020</v>
      </c>
      <c r="C24" s="92"/>
      <c r="D24" s="121">
        <f>'SK skaičiavimas_Vidinis'!C56</f>
        <v>1.63</v>
      </c>
      <c r="E24" s="121">
        <f>'SK skaičiavimas_Vidinis'!D56</f>
        <v>0.72</v>
      </c>
      <c r="F24" s="121">
        <f>'SK skaičiavimas_Vidinis'!E56</f>
        <v>0.43</v>
      </c>
      <c r="G24" s="121">
        <f>'SK skaičiavimas_Vidinis'!F56</f>
        <v>1.22</v>
      </c>
      <c r="H24" s="121">
        <f>'SK skaičiavimas_Vidinis'!C53</f>
        <v>1.95</v>
      </c>
      <c r="I24" s="121">
        <f>'SK skaičiavimas_Vidinis'!D53</f>
        <v>1.46</v>
      </c>
      <c r="J24" s="121">
        <f>'SK skaičiavimas_Vidinis'!E53</f>
        <v>1.47</v>
      </c>
      <c r="K24" s="121">
        <f>'SK skaičiavimas_Vidinis'!F53</f>
        <v>0.87</v>
      </c>
      <c r="L24" s="121">
        <f>'SK skaičiavimas_Vidinis'!G53</f>
        <v>0.7</v>
      </c>
      <c r="M24" s="121">
        <f>'SK skaičiavimas_Vidinis'!H53</f>
        <v>0.6</v>
      </c>
      <c r="N24" s="121">
        <f>'SK skaičiavimas_Vidinis'!I53</f>
        <v>0.26</v>
      </c>
      <c r="O24" s="121">
        <f>'SK skaičiavimas_Vidinis'!J53</f>
        <v>0.27</v>
      </c>
      <c r="P24" s="121">
        <f>'SK skaičiavimas_Vidinis'!K53</f>
        <v>0.77</v>
      </c>
      <c r="Q24" s="121">
        <f>'SK skaičiavimas_Vidinis'!L53</f>
        <v>1.08</v>
      </c>
      <c r="R24" s="121">
        <f>'SK skaičiavimas_Vidinis'!M53</f>
        <v>1.2</v>
      </c>
      <c r="S24" s="121">
        <f>'SK skaičiavimas_Vidinis'!N53</f>
        <v>1.37</v>
      </c>
      <c r="T24" s="121">
        <f>'SK skaičiavimas_Vidinis'!C54</f>
        <v>1.95</v>
      </c>
      <c r="U24" s="121">
        <f>'SK skaičiavimas_Vidinis'!D54</f>
        <v>1.46</v>
      </c>
      <c r="V24" s="121">
        <f>'SK skaičiavimas_Vidinis'!E54</f>
        <v>1.47</v>
      </c>
      <c r="W24" s="121">
        <f>'SK skaičiavimas_Vidinis'!F54</f>
        <v>0.87</v>
      </c>
      <c r="X24" s="121">
        <f>'SK skaičiavimas_Vidinis'!G54</f>
        <v>0.7</v>
      </c>
      <c r="Y24" s="121">
        <f>'SK skaičiavimas_Vidinis'!H54</f>
        <v>0.6</v>
      </c>
      <c r="Z24" s="121">
        <f>'SK skaičiavimas_Vidinis'!I54</f>
        <v>0.26</v>
      </c>
      <c r="AA24" s="121">
        <f>'SK skaičiavimas_Vidinis'!J54</f>
        <v>0.27</v>
      </c>
      <c r="AB24" s="121">
        <f>'SK skaičiavimas_Vidinis'!K54</f>
        <v>0.77</v>
      </c>
      <c r="AC24" s="121">
        <f>'SK skaičiavimas_Vidinis'!L54</f>
        <v>1.08</v>
      </c>
      <c r="AD24" s="121">
        <f>'SK skaičiavimas_Vidinis'!M54</f>
        <v>1.2</v>
      </c>
      <c r="AE24" s="121">
        <f>'SK skaičiavimas_Vidinis'!N54</f>
        <v>1.37</v>
      </c>
    </row>
    <row r="25" spans="2:43" x14ac:dyDescent="0.3">
      <c r="B25" s="73" t="s">
        <v>59</v>
      </c>
      <c r="C25" s="94"/>
      <c r="D25" s="105"/>
      <c r="E25" s="105"/>
      <c r="F25" s="105"/>
      <c r="G25" s="105"/>
      <c r="H25" s="105"/>
      <c r="I25" s="105"/>
      <c r="J25" s="105"/>
      <c r="K25" s="105"/>
      <c r="L25" s="105"/>
      <c r="M25" s="105"/>
      <c r="N25" s="105"/>
      <c r="O25" s="105"/>
      <c r="P25" s="105"/>
      <c r="Q25" s="105"/>
      <c r="R25" s="105"/>
      <c r="S25" s="105"/>
      <c r="T25" s="106"/>
      <c r="U25" s="106"/>
      <c r="V25" s="106"/>
      <c r="W25" s="106"/>
      <c r="X25" s="106"/>
      <c r="Y25" s="106"/>
      <c r="Z25" s="106"/>
      <c r="AA25" s="106"/>
      <c r="AB25" s="106"/>
      <c r="AC25" s="106"/>
      <c r="AD25" s="106"/>
      <c r="AE25" s="106"/>
    </row>
    <row r="26" spans="2:43" ht="14.4" customHeight="1" x14ac:dyDescent="0.3">
      <c r="B26" s="370" t="s">
        <v>10</v>
      </c>
      <c r="C26" s="371"/>
      <c r="D26" s="363" t="s">
        <v>60</v>
      </c>
      <c r="E26" s="364"/>
      <c r="F26" s="364"/>
      <c r="G26" s="365"/>
      <c r="H26" s="363" t="s">
        <v>33</v>
      </c>
      <c r="I26" s="364"/>
      <c r="J26" s="364"/>
      <c r="K26" s="364"/>
      <c r="L26" s="364"/>
      <c r="M26" s="364"/>
      <c r="N26" s="364"/>
      <c r="O26" s="364"/>
      <c r="P26" s="364"/>
      <c r="Q26" s="364"/>
      <c r="R26" s="364"/>
      <c r="S26" s="365"/>
      <c r="T26" s="363" t="s">
        <v>34</v>
      </c>
      <c r="U26" s="364"/>
      <c r="V26" s="364"/>
      <c r="W26" s="364"/>
      <c r="X26" s="364"/>
      <c r="Y26" s="364"/>
      <c r="Z26" s="364"/>
      <c r="AA26" s="364"/>
      <c r="AB26" s="364"/>
      <c r="AC26" s="364"/>
      <c r="AD26" s="364"/>
      <c r="AE26" s="365"/>
    </row>
    <row r="27" spans="2:43" x14ac:dyDescent="0.3">
      <c r="B27" s="370"/>
      <c r="C27" s="371"/>
      <c r="D27" s="304" t="s">
        <v>35</v>
      </c>
      <c r="E27" s="304" t="s">
        <v>36</v>
      </c>
      <c r="F27" s="304" t="s">
        <v>37</v>
      </c>
      <c r="G27" s="304" t="s">
        <v>38</v>
      </c>
      <c r="H27" s="304" t="s">
        <v>16</v>
      </c>
      <c r="I27" s="304" t="s">
        <v>17</v>
      </c>
      <c r="J27" s="304" t="s">
        <v>18</v>
      </c>
      <c r="K27" s="304" t="s">
        <v>19</v>
      </c>
      <c r="L27" s="304" t="s">
        <v>20</v>
      </c>
      <c r="M27" s="304" t="s">
        <v>21</v>
      </c>
      <c r="N27" s="304" t="s">
        <v>22</v>
      </c>
      <c r="O27" s="304" t="s">
        <v>23</v>
      </c>
      <c r="P27" s="304" t="s">
        <v>24</v>
      </c>
      <c r="Q27" s="304" t="s">
        <v>25</v>
      </c>
      <c r="R27" s="304" t="s">
        <v>26</v>
      </c>
      <c r="S27" s="304" t="s">
        <v>27</v>
      </c>
      <c r="T27" s="304" t="s">
        <v>16</v>
      </c>
      <c r="U27" s="304" t="s">
        <v>17</v>
      </c>
      <c r="V27" s="304" t="s">
        <v>18</v>
      </c>
      <c r="W27" s="304" t="s">
        <v>19</v>
      </c>
      <c r="X27" s="304" t="s">
        <v>20</v>
      </c>
      <c r="Y27" s="304" t="s">
        <v>21</v>
      </c>
      <c r="Z27" s="304" t="s">
        <v>22</v>
      </c>
      <c r="AA27" s="304" t="s">
        <v>23</v>
      </c>
      <c r="AB27" s="304" t="s">
        <v>24</v>
      </c>
      <c r="AC27" s="304" t="s">
        <v>25</v>
      </c>
      <c r="AD27" s="304" t="s">
        <v>26</v>
      </c>
      <c r="AE27" s="304" t="s">
        <v>27</v>
      </c>
    </row>
    <row r="28" spans="2:43" x14ac:dyDescent="0.3">
      <c r="B28" s="91">
        <v>2019</v>
      </c>
      <c r="C28" s="92"/>
      <c r="D28" s="104">
        <v>3.0822222222222218</v>
      </c>
      <c r="E28" s="104">
        <v>1.1230769230769231</v>
      </c>
      <c r="F28" s="104">
        <v>0.95217391304347809</v>
      </c>
      <c r="G28" s="104">
        <v>1.9043478260869562</v>
      </c>
      <c r="H28" s="104">
        <v>2.7473118279569886</v>
      </c>
      <c r="I28" s="104">
        <v>3.0416666666666661</v>
      </c>
      <c r="J28" s="104">
        <v>1.9623655913978493</v>
      </c>
      <c r="K28" s="104">
        <v>1.6222222222222225</v>
      </c>
      <c r="L28" s="104">
        <v>1.0204301075268816</v>
      </c>
      <c r="M28" s="104">
        <v>1.0544444444444445</v>
      </c>
      <c r="N28" s="104">
        <v>1.0204301075268816</v>
      </c>
      <c r="O28" s="104">
        <v>1.0204301075268816</v>
      </c>
      <c r="P28" s="104">
        <v>1.0544444444444445</v>
      </c>
      <c r="Q28" s="104">
        <v>1.5698924731182797</v>
      </c>
      <c r="R28" s="104">
        <v>1.6222222222222225</v>
      </c>
      <c r="S28" s="104">
        <v>2.7473118279569886</v>
      </c>
      <c r="T28" s="104">
        <v>2.8388888888888881</v>
      </c>
      <c r="U28" s="104">
        <v>2.8388888888888881</v>
      </c>
      <c r="V28" s="104">
        <v>2.0277777777777777</v>
      </c>
      <c r="W28" s="104">
        <v>1.622222222222222</v>
      </c>
      <c r="X28" s="104">
        <v>1.0544444444444443</v>
      </c>
      <c r="Y28" s="104">
        <v>1.0544444444444443</v>
      </c>
      <c r="Z28" s="104">
        <v>1.0544444444444443</v>
      </c>
      <c r="AA28" s="104">
        <v>1.0544444444444443</v>
      </c>
      <c r="AB28" s="104">
        <v>1.0544444444444443</v>
      </c>
      <c r="AC28" s="104">
        <v>1.622222222222222</v>
      </c>
      <c r="AD28" s="104">
        <v>1.622222222222222</v>
      </c>
      <c r="AE28" s="104">
        <v>2.8388888888888881</v>
      </c>
    </row>
    <row r="29" spans="2:43" x14ac:dyDescent="0.3">
      <c r="B29" s="91">
        <v>2020</v>
      </c>
      <c r="C29" s="92"/>
      <c r="D29" s="121">
        <f>'SK skaičiavimas_Šakiai'!C56</f>
        <v>1.59</v>
      </c>
      <c r="E29" s="121">
        <f>'SK skaičiavimas_Šakiai'!D56</f>
        <v>0.66</v>
      </c>
      <c r="F29" s="121">
        <f>'SK skaičiavimas_Šakiai'!E56</f>
        <v>0.65</v>
      </c>
      <c r="G29" s="121">
        <f>'SK skaičiavimas_Šakiai'!F56</f>
        <v>1.1000000000000001</v>
      </c>
      <c r="H29" s="121">
        <f>'SK skaičiavimas_Šakiai'!C53</f>
        <v>1.63</v>
      </c>
      <c r="I29" s="121">
        <f>'SK skaičiavimas_Šakiai'!D53</f>
        <v>1.45</v>
      </c>
      <c r="J29" s="121">
        <f>'SK skaičiavimas_Šakiai'!E53</f>
        <v>1.7</v>
      </c>
      <c r="K29" s="121">
        <f>'SK skaičiavimas_Šakiai'!F53</f>
        <v>0.74</v>
      </c>
      <c r="L29" s="121">
        <f>'SK skaičiavimas_Šakiai'!G53</f>
        <v>0.59</v>
      </c>
      <c r="M29" s="121">
        <f>'SK skaičiavimas_Šakiai'!H53</f>
        <v>0.65</v>
      </c>
      <c r="N29" s="121">
        <f>'SK skaičiavimas_Šakiai'!I53</f>
        <v>0.43</v>
      </c>
      <c r="O29" s="121">
        <f>'SK skaičiavimas_Šakiai'!J53</f>
        <v>0.67</v>
      </c>
      <c r="P29" s="121">
        <f>'SK skaičiavimas_Šakiai'!K53</f>
        <v>0.84</v>
      </c>
      <c r="Q29" s="121">
        <f>'SK skaičiavimas_Šakiai'!L53</f>
        <v>1.06</v>
      </c>
      <c r="R29" s="121">
        <f>'SK skaičiavimas_Šakiai'!M53</f>
        <v>1.1399999999999999</v>
      </c>
      <c r="S29" s="121">
        <f>'SK skaičiavimas_Šakiai'!N53</f>
        <v>1.1100000000000001</v>
      </c>
      <c r="T29" s="121">
        <f>'SK skaičiavimas_Šakiai'!C54</f>
        <v>1.63</v>
      </c>
      <c r="U29" s="121">
        <f>'SK skaičiavimas_Šakiai'!D54</f>
        <v>1.45</v>
      </c>
      <c r="V29" s="121">
        <f>'SK skaičiavimas_Šakiai'!E54</f>
        <v>1.7</v>
      </c>
      <c r="W29" s="121">
        <f>'SK skaičiavimas_Šakiai'!F54</f>
        <v>0.74</v>
      </c>
      <c r="X29" s="121">
        <f>'SK skaičiavimas_Šakiai'!G54</f>
        <v>0.59</v>
      </c>
      <c r="Y29" s="121">
        <f>'SK skaičiavimas_Šakiai'!H54</f>
        <v>0.65</v>
      </c>
      <c r="Z29" s="121">
        <f>'SK skaičiavimas_Šakiai'!I54</f>
        <v>0.43</v>
      </c>
      <c r="AA29" s="121">
        <f>'SK skaičiavimas_Šakiai'!J54</f>
        <v>0.67</v>
      </c>
      <c r="AB29" s="121">
        <f>'SK skaičiavimas_Šakiai'!K54</f>
        <v>0.84</v>
      </c>
      <c r="AC29" s="121">
        <f>'SK skaičiavimas_Šakiai'!L54</f>
        <v>1.06</v>
      </c>
      <c r="AD29" s="121">
        <f>'SK skaičiavimas_Šakiai'!M54</f>
        <v>1.1399999999999999</v>
      </c>
      <c r="AE29" s="121">
        <f>'SK skaičiavimas_Šakiai'!N54</f>
        <v>1.1100000000000001</v>
      </c>
    </row>
    <row r="30" spans="2:43" x14ac:dyDescent="0.3">
      <c r="B30" s="89"/>
      <c r="C30" s="93"/>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row>
    <row r="31" spans="2:43" ht="18.600000000000001" customHeight="1" x14ac:dyDescent="0.3">
      <c r="B31" s="358" t="s">
        <v>40</v>
      </c>
      <c r="C31" s="358"/>
      <c r="D31" s="358"/>
      <c r="E31" s="358"/>
      <c r="F31" s="358"/>
      <c r="G31" s="358"/>
      <c r="H31" s="358"/>
      <c r="I31" s="358"/>
      <c r="J31" s="358"/>
      <c r="K31" s="358"/>
      <c r="L31" s="358"/>
      <c r="M31" s="358"/>
      <c r="N31" s="358"/>
      <c r="O31" s="358"/>
      <c r="P31" s="358"/>
      <c r="Q31" s="358"/>
      <c r="R31" s="358"/>
      <c r="S31" s="358"/>
      <c r="T31" s="358"/>
      <c r="U31" s="358"/>
      <c r="V31" s="358"/>
      <c r="W31" s="358"/>
      <c r="X31" s="358"/>
      <c r="Y31" s="358"/>
      <c r="Z31" s="358"/>
      <c r="AA31" s="358"/>
      <c r="AB31" s="358"/>
      <c r="AC31" s="358"/>
      <c r="AD31" s="358"/>
      <c r="AE31" s="358"/>
      <c r="AF31" s="358"/>
      <c r="AG31" s="358"/>
      <c r="AH31" s="358"/>
      <c r="AI31" s="358"/>
      <c r="AJ31" s="358"/>
      <c r="AK31" s="358"/>
      <c r="AL31" s="358"/>
      <c r="AM31" s="358"/>
      <c r="AN31" s="358"/>
      <c r="AO31" s="358"/>
      <c r="AP31" s="358"/>
      <c r="AQ31" s="358"/>
    </row>
    <row r="32" spans="2:43" ht="15.6" x14ac:dyDescent="0.3">
      <c r="B32" s="359" t="s">
        <v>141</v>
      </c>
      <c r="C32" s="360"/>
      <c r="D32" s="360"/>
      <c r="E32" s="360"/>
      <c r="F32" s="360"/>
      <c r="G32" s="360"/>
      <c r="H32" s="360"/>
      <c r="I32" s="360"/>
      <c r="J32" s="360"/>
      <c r="K32" s="360"/>
      <c r="L32" s="360"/>
      <c r="M32" s="360"/>
      <c r="N32" s="360"/>
      <c r="O32" s="360"/>
      <c r="P32" s="360"/>
      <c r="Q32" s="360"/>
      <c r="R32" s="360"/>
      <c r="S32" s="360"/>
      <c r="T32" s="360"/>
      <c r="U32" s="360"/>
      <c r="V32" s="360"/>
      <c r="W32" s="360"/>
      <c r="X32" s="360"/>
      <c r="Y32" s="360"/>
      <c r="Z32" s="360"/>
      <c r="AA32" s="360"/>
      <c r="AB32" s="360"/>
      <c r="AC32" s="360"/>
      <c r="AD32" s="360"/>
      <c r="AE32" s="360"/>
      <c r="AF32" s="360"/>
      <c r="AG32" s="360"/>
      <c r="AH32" s="360"/>
      <c r="AI32" s="360"/>
      <c r="AJ32" s="360"/>
      <c r="AK32" s="360"/>
      <c r="AL32" s="360"/>
      <c r="AM32" s="360"/>
      <c r="AN32" s="360"/>
      <c r="AO32" s="360"/>
      <c r="AP32" s="360"/>
      <c r="AQ32" s="360"/>
    </row>
    <row r="33" spans="2:44" ht="14.4" customHeight="1" x14ac:dyDescent="0.3">
      <c r="B33" s="131"/>
      <c r="C33" s="351" t="s">
        <v>46</v>
      </c>
      <c r="D33" s="354" t="s">
        <v>47</v>
      </c>
      <c r="E33" s="354"/>
      <c r="F33" s="354"/>
      <c r="G33" s="355"/>
      <c r="H33" s="354" t="s">
        <v>48</v>
      </c>
      <c r="I33" s="354"/>
      <c r="J33" s="354"/>
      <c r="K33" s="354"/>
      <c r="L33" s="354"/>
      <c r="M33" s="354"/>
      <c r="N33" s="354"/>
      <c r="O33" s="354"/>
      <c r="P33" s="354"/>
      <c r="Q33" s="354"/>
      <c r="R33" s="354"/>
      <c r="S33" s="355"/>
      <c r="T33" s="354" t="s">
        <v>49</v>
      </c>
      <c r="U33" s="354"/>
      <c r="V33" s="354"/>
      <c r="W33" s="354"/>
      <c r="X33" s="354"/>
      <c r="Y33" s="354"/>
      <c r="Z33" s="354"/>
      <c r="AA33" s="354"/>
      <c r="AB33" s="354"/>
      <c r="AC33" s="354"/>
      <c r="AD33" s="354"/>
      <c r="AE33" s="356"/>
      <c r="AF33" s="362" t="s">
        <v>50</v>
      </c>
      <c r="AG33" s="354"/>
      <c r="AH33" s="354"/>
      <c r="AI33" s="354"/>
      <c r="AJ33" s="354"/>
      <c r="AK33" s="354"/>
      <c r="AL33" s="354"/>
      <c r="AM33" s="354"/>
      <c r="AN33" s="354"/>
      <c r="AO33" s="354"/>
      <c r="AP33" s="354"/>
      <c r="AQ33" s="356"/>
    </row>
    <row r="34" spans="2:44" x14ac:dyDescent="0.3">
      <c r="B34" s="125" t="s">
        <v>41</v>
      </c>
      <c r="C34" s="352"/>
      <c r="D34" s="304" t="s">
        <v>35</v>
      </c>
      <c r="E34" s="304" t="s">
        <v>36</v>
      </c>
      <c r="F34" s="304" t="s">
        <v>37</v>
      </c>
      <c r="G34" s="302" t="s">
        <v>38</v>
      </c>
      <c r="H34" s="219" t="s">
        <v>16</v>
      </c>
      <c r="I34" s="304" t="s">
        <v>17</v>
      </c>
      <c r="J34" s="304" t="s">
        <v>18</v>
      </c>
      <c r="K34" s="304" t="s">
        <v>19</v>
      </c>
      <c r="L34" s="304" t="s">
        <v>20</v>
      </c>
      <c r="M34" s="304" t="s">
        <v>21</v>
      </c>
      <c r="N34" s="304" t="s">
        <v>22</v>
      </c>
      <c r="O34" s="304" t="s">
        <v>23</v>
      </c>
      <c r="P34" s="304" t="s">
        <v>24</v>
      </c>
      <c r="Q34" s="304" t="s">
        <v>25</v>
      </c>
      <c r="R34" s="304" t="s">
        <v>26</v>
      </c>
      <c r="S34" s="250" t="s">
        <v>27</v>
      </c>
      <c r="T34" s="303" t="s">
        <v>16</v>
      </c>
      <c r="U34" s="304" t="s">
        <v>17</v>
      </c>
      <c r="V34" s="304" t="s">
        <v>18</v>
      </c>
      <c r="W34" s="304" t="s">
        <v>19</v>
      </c>
      <c r="X34" s="304" t="s">
        <v>20</v>
      </c>
      <c r="Y34" s="304" t="s">
        <v>21</v>
      </c>
      <c r="Z34" s="304" t="s">
        <v>22</v>
      </c>
      <c r="AA34" s="304" t="s">
        <v>23</v>
      </c>
      <c r="AB34" s="304" t="s">
        <v>24</v>
      </c>
      <c r="AC34" s="304" t="s">
        <v>25</v>
      </c>
      <c r="AD34" s="304" t="s">
        <v>26</v>
      </c>
      <c r="AE34" s="302" t="s">
        <v>27</v>
      </c>
      <c r="AF34" s="219" t="s">
        <v>16</v>
      </c>
      <c r="AG34" s="304" t="s">
        <v>17</v>
      </c>
      <c r="AH34" s="304" t="s">
        <v>18</v>
      </c>
      <c r="AI34" s="304" t="s">
        <v>19</v>
      </c>
      <c r="AJ34" s="304" t="s">
        <v>20</v>
      </c>
      <c r="AK34" s="304" t="s">
        <v>21</v>
      </c>
      <c r="AL34" s="304" t="s">
        <v>22</v>
      </c>
      <c r="AM34" s="304" t="s">
        <v>23</v>
      </c>
      <c r="AN34" s="304" t="s">
        <v>24</v>
      </c>
      <c r="AO34" s="304" t="s">
        <v>25</v>
      </c>
      <c r="AP34" s="304" t="s">
        <v>26</v>
      </c>
      <c r="AQ34" s="302" t="s">
        <v>27</v>
      </c>
      <c r="AR34" s="305"/>
    </row>
    <row r="35" spans="2:44" x14ac:dyDescent="0.3">
      <c r="B35" s="125" t="s">
        <v>42</v>
      </c>
      <c r="C35" s="352"/>
      <c r="D35" s="248">
        <f>1/$C$10*D10*$D$16</f>
        <v>0.30821917808219179</v>
      </c>
      <c r="E35" s="124">
        <f>1/$C$10*E10*$D$16</f>
        <v>0.31164383561643838</v>
      </c>
      <c r="F35" s="124">
        <f>1/$C$10*F10*$D$16</f>
        <v>0.31506849315068497</v>
      </c>
      <c r="G35" s="251">
        <f>1/$C$10*G10*$D$16</f>
        <v>0.31506849315068497</v>
      </c>
      <c r="H35" s="248">
        <f t="shared" ref="H35:S35" si="5">1/$C$10*H10*$E$16</f>
        <v>0.12739726027397261</v>
      </c>
      <c r="I35" s="124">
        <f t="shared" si="5"/>
        <v>0.11506849315068493</v>
      </c>
      <c r="J35" s="124">
        <f t="shared" si="5"/>
        <v>0.12739726027397261</v>
      </c>
      <c r="K35" s="124">
        <f t="shared" si="5"/>
        <v>0.12328767123287671</v>
      </c>
      <c r="L35" s="124">
        <f t="shared" si="5"/>
        <v>0.12739726027397261</v>
      </c>
      <c r="M35" s="124">
        <f t="shared" si="5"/>
        <v>0.12328767123287671</v>
      </c>
      <c r="N35" s="124">
        <f t="shared" si="5"/>
        <v>0.12739726027397261</v>
      </c>
      <c r="O35" s="124">
        <f t="shared" si="5"/>
        <v>0.12739726027397261</v>
      </c>
      <c r="P35" s="124">
        <f t="shared" si="5"/>
        <v>0.12328767123287671</v>
      </c>
      <c r="Q35" s="124">
        <f t="shared" si="5"/>
        <v>0.12739726027397261</v>
      </c>
      <c r="R35" s="124">
        <f t="shared" si="5"/>
        <v>0.12328767123287671</v>
      </c>
      <c r="S35" s="251">
        <f t="shared" si="5"/>
        <v>0.12739726027397261</v>
      </c>
      <c r="T35" s="248">
        <f t="shared" ref="T35:AE35" si="6">1/$C$10*$F$16</f>
        <v>6.1643835616438354E-3</v>
      </c>
      <c r="U35" s="124">
        <f t="shared" si="6"/>
        <v>6.1643835616438354E-3</v>
      </c>
      <c r="V35" s="124">
        <f t="shared" si="6"/>
        <v>6.1643835616438354E-3</v>
      </c>
      <c r="W35" s="124">
        <f t="shared" si="6"/>
        <v>6.1643835616438354E-3</v>
      </c>
      <c r="X35" s="124">
        <f t="shared" si="6"/>
        <v>6.1643835616438354E-3</v>
      </c>
      <c r="Y35" s="124">
        <f t="shared" si="6"/>
        <v>6.1643835616438354E-3</v>
      </c>
      <c r="Z35" s="124">
        <f t="shared" si="6"/>
        <v>6.1643835616438354E-3</v>
      </c>
      <c r="AA35" s="124">
        <f t="shared" si="6"/>
        <v>6.1643835616438354E-3</v>
      </c>
      <c r="AB35" s="124">
        <f t="shared" si="6"/>
        <v>6.1643835616438354E-3</v>
      </c>
      <c r="AC35" s="124">
        <f t="shared" si="6"/>
        <v>6.1643835616438354E-3</v>
      </c>
      <c r="AD35" s="124">
        <f t="shared" si="6"/>
        <v>6.1643835616438354E-3</v>
      </c>
      <c r="AE35" s="126">
        <f t="shared" si="6"/>
        <v>6.1643835616438354E-3</v>
      </c>
      <c r="AF35" s="124">
        <f>T35</f>
        <v>6.1643835616438354E-3</v>
      </c>
      <c r="AG35" s="124">
        <f t="shared" ref="AG35:AQ37" si="7">U35</f>
        <v>6.1643835616438354E-3</v>
      </c>
      <c r="AH35" s="124">
        <f t="shared" si="7"/>
        <v>6.1643835616438354E-3</v>
      </c>
      <c r="AI35" s="124">
        <f t="shared" si="7"/>
        <v>6.1643835616438354E-3</v>
      </c>
      <c r="AJ35" s="124">
        <f t="shared" si="7"/>
        <v>6.1643835616438354E-3</v>
      </c>
      <c r="AK35" s="124">
        <f t="shared" si="7"/>
        <v>6.1643835616438354E-3</v>
      </c>
      <c r="AL35" s="124">
        <f t="shared" si="7"/>
        <v>6.1643835616438354E-3</v>
      </c>
      <c r="AM35" s="124">
        <f t="shared" si="7"/>
        <v>6.1643835616438354E-3</v>
      </c>
      <c r="AN35" s="124">
        <f t="shared" si="7"/>
        <v>6.1643835616438354E-3</v>
      </c>
      <c r="AO35" s="124">
        <f t="shared" si="7"/>
        <v>6.1643835616438354E-3</v>
      </c>
      <c r="AP35" s="124">
        <f t="shared" si="7"/>
        <v>6.1643835616438354E-3</v>
      </c>
      <c r="AQ35" s="126">
        <f t="shared" si="7"/>
        <v>6.1643835616438354E-3</v>
      </c>
    </row>
    <row r="36" spans="2:44" x14ac:dyDescent="0.3">
      <c r="B36" s="125" t="s">
        <v>43</v>
      </c>
      <c r="C36" s="352"/>
      <c r="D36" s="248">
        <f>1/$C$10*D10*$H$16</f>
        <v>0.30821917808219179</v>
      </c>
      <c r="E36" s="124">
        <f>1/$C$10*E10*$H$16</f>
        <v>0.31164383561643838</v>
      </c>
      <c r="F36" s="124">
        <f>1/$C$10*F10*$H$16</f>
        <v>0.31506849315068497</v>
      </c>
      <c r="G36" s="251">
        <f>1/$C$10*G10*$H$16</f>
        <v>0.31506849315068497</v>
      </c>
      <c r="H36" s="248">
        <f t="shared" ref="H36:S36" si="8">1/$C$10*H10*$I$16</f>
        <v>0.11890410958904109</v>
      </c>
      <c r="I36" s="124">
        <f t="shared" si="8"/>
        <v>0.1073972602739726</v>
      </c>
      <c r="J36" s="124">
        <f t="shared" si="8"/>
        <v>0.11890410958904109</v>
      </c>
      <c r="K36" s="124">
        <f t="shared" si="8"/>
        <v>0.11506849315068492</v>
      </c>
      <c r="L36" s="124">
        <f t="shared" si="8"/>
        <v>0.11890410958904109</v>
      </c>
      <c r="M36" s="124">
        <f t="shared" si="8"/>
        <v>0.11506849315068492</v>
      </c>
      <c r="N36" s="124">
        <f t="shared" si="8"/>
        <v>0.11890410958904109</v>
      </c>
      <c r="O36" s="124">
        <f t="shared" si="8"/>
        <v>0.11890410958904109</v>
      </c>
      <c r="P36" s="124">
        <f t="shared" si="8"/>
        <v>0.11506849315068492</v>
      </c>
      <c r="Q36" s="124">
        <f t="shared" si="8"/>
        <v>0.11890410958904109</v>
      </c>
      <c r="R36" s="124">
        <f t="shared" si="8"/>
        <v>0.11506849315068492</v>
      </c>
      <c r="S36" s="251">
        <f t="shared" si="8"/>
        <v>0.11890410958904109</v>
      </c>
      <c r="T36" s="248">
        <f t="shared" ref="T36:AE36" si="9">1/$C$10*$J$16</f>
        <v>4.1095890410958909E-3</v>
      </c>
      <c r="U36" s="124">
        <f t="shared" si="9"/>
        <v>4.1095890410958909E-3</v>
      </c>
      <c r="V36" s="124">
        <f t="shared" si="9"/>
        <v>4.1095890410958909E-3</v>
      </c>
      <c r="W36" s="124">
        <f t="shared" si="9"/>
        <v>4.1095890410958909E-3</v>
      </c>
      <c r="X36" s="124">
        <f t="shared" si="9"/>
        <v>4.1095890410958909E-3</v>
      </c>
      <c r="Y36" s="124">
        <f t="shared" si="9"/>
        <v>4.1095890410958909E-3</v>
      </c>
      <c r="Z36" s="124">
        <f t="shared" si="9"/>
        <v>4.1095890410958909E-3</v>
      </c>
      <c r="AA36" s="124">
        <f t="shared" si="9"/>
        <v>4.1095890410958909E-3</v>
      </c>
      <c r="AB36" s="124">
        <f t="shared" si="9"/>
        <v>4.1095890410958909E-3</v>
      </c>
      <c r="AC36" s="124">
        <f t="shared" si="9"/>
        <v>4.1095890410958909E-3</v>
      </c>
      <c r="AD36" s="124">
        <f t="shared" si="9"/>
        <v>4.1095890410958909E-3</v>
      </c>
      <c r="AE36" s="126">
        <f t="shared" si="9"/>
        <v>4.1095890410958909E-3</v>
      </c>
      <c r="AF36" s="124">
        <f t="shared" ref="AF36:AF38" si="10">T36</f>
        <v>4.1095890410958909E-3</v>
      </c>
      <c r="AG36" s="124">
        <f t="shared" si="7"/>
        <v>4.1095890410958909E-3</v>
      </c>
      <c r="AH36" s="124">
        <f t="shared" si="7"/>
        <v>4.1095890410958909E-3</v>
      </c>
      <c r="AI36" s="124">
        <f t="shared" si="7"/>
        <v>4.1095890410958909E-3</v>
      </c>
      <c r="AJ36" s="124">
        <f t="shared" si="7"/>
        <v>4.1095890410958909E-3</v>
      </c>
      <c r="AK36" s="124">
        <f t="shared" si="7"/>
        <v>4.1095890410958909E-3</v>
      </c>
      <c r="AL36" s="124">
        <f t="shared" si="7"/>
        <v>4.1095890410958909E-3</v>
      </c>
      <c r="AM36" s="124">
        <f t="shared" si="7"/>
        <v>4.1095890410958909E-3</v>
      </c>
      <c r="AN36" s="124">
        <f t="shared" si="7"/>
        <v>4.1095890410958909E-3</v>
      </c>
      <c r="AO36" s="124">
        <f t="shared" si="7"/>
        <v>4.1095890410958909E-3</v>
      </c>
      <c r="AP36" s="124">
        <f t="shared" si="7"/>
        <v>4.1095890410958909E-3</v>
      </c>
      <c r="AQ36" s="126">
        <f t="shared" si="7"/>
        <v>4.1095890410958909E-3</v>
      </c>
    </row>
    <row r="37" spans="2:44" x14ac:dyDescent="0.3">
      <c r="B37" s="125" t="s">
        <v>44</v>
      </c>
      <c r="C37" s="352"/>
      <c r="D37" s="248">
        <f>1/$C$10*D10*$L$16*D28</f>
        <v>0.94999999999999984</v>
      </c>
      <c r="E37" s="124">
        <f>1/$C$10*E10*$L$16*E28</f>
        <v>0.35000000000000003</v>
      </c>
      <c r="F37" s="124">
        <f>1/$C$10*F10*$L$16*F28</f>
        <v>0.3</v>
      </c>
      <c r="G37" s="251">
        <f>1/$C$10*G10*$L$16*G28</f>
        <v>0.6</v>
      </c>
      <c r="H37" s="248">
        <f t="shared" ref="H37:S37" si="11">1/$C$10*H10*$M$16*H28</f>
        <v>0.34999999999999992</v>
      </c>
      <c r="I37" s="124">
        <f t="shared" si="11"/>
        <v>0.34999999999999992</v>
      </c>
      <c r="J37" s="124">
        <f t="shared" si="11"/>
        <v>0.24999999999999997</v>
      </c>
      <c r="K37" s="124">
        <f t="shared" si="11"/>
        <v>0.2</v>
      </c>
      <c r="L37" s="124">
        <f t="shared" si="11"/>
        <v>0.12999999999999998</v>
      </c>
      <c r="M37" s="124">
        <f t="shared" si="11"/>
        <v>0.13</v>
      </c>
      <c r="N37" s="124">
        <f t="shared" si="11"/>
        <v>0.12999999999999998</v>
      </c>
      <c r="O37" s="124">
        <f t="shared" si="11"/>
        <v>0.12999999999999998</v>
      </c>
      <c r="P37" s="124">
        <f t="shared" si="11"/>
        <v>0.13</v>
      </c>
      <c r="Q37" s="124">
        <f t="shared" si="11"/>
        <v>0.20000000000000004</v>
      </c>
      <c r="R37" s="124">
        <f t="shared" si="11"/>
        <v>0.2</v>
      </c>
      <c r="S37" s="251">
        <f t="shared" si="11"/>
        <v>0.34999999999999992</v>
      </c>
      <c r="T37" s="248">
        <f t="shared" ref="T37:AE37" si="12">1/$C$10*$N$16*T28</f>
        <v>1.7499999999999995E-2</v>
      </c>
      <c r="U37" s="124">
        <f t="shared" si="12"/>
        <v>1.7499999999999995E-2</v>
      </c>
      <c r="V37" s="124">
        <f t="shared" si="12"/>
        <v>1.2499999999999999E-2</v>
      </c>
      <c r="W37" s="124">
        <f t="shared" si="12"/>
        <v>9.9999999999999985E-3</v>
      </c>
      <c r="X37" s="124">
        <f t="shared" si="12"/>
        <v>6.4999999999999988E-3</v>
      </c>
      <c r="Y37" s="124">
        <f t="shared" si="12"/>
        <v>6.4999999999999988E-3</v>
      </c>
      <c r="Z37" s="124">
        <f t="shared" si="12"/>
        <v>6.4999999999999988E-3</v>
      </c>
      <c r="AA37" s="124">
        <f t="shared" si="12"/>
        <v>6.4999999999999988E-3</v>
      </c>
      <c r="AB37" s="124">
        <f t="shared" si="12"/>
        <v>6.4999999999999988E-3</v>
      </c>
      <c r="AC37" s="124">
        <f t="shared" si="12"/>
        <v>9.9999999999999985E-3</v>
      </c>
      <c r="AD37" s="124">
        <f t="shared" si="12"/>
        <v>9.9999999999999985E-3</v>
      </c>
      <c r="AE37" s="126">
        <f t="shared" si="12"/>
        <v>1.7499999999999995E-2</v>
      </c>
      <c r="AF37" s="124">
        <f t="shared" si="10"/>
        <v>1.7499999999999995E-2</v>
      </c>
      <c r="AG37" s="124">
        <f t="shared" si="7"/>
        <v>1.7499999999999995E-2</v>
      </c>
      <c r="AH37" s="124">
        <f t="shared" si="7"/>
        <v>1.2499999999999999E-2</v>
      </c>
      <c r="AI37" s="124">
        <f t="shared" si="7"/>
        <v>9.9999999999999985E-3</v>
      </c>
      <c r="AJ37" s="124">
        <f t="shared" si="7"/>
        <v>6.4999999999999988E-3</v>
      </c>
      <c r="AK37" s="124">
        <f t="shared" si="7"/>
        <v>6.4999999999999988E-3</v>
      </c>
      <c r="AL37" s="124">
        <f t="shared" si="7"/>
        <v>6.4999999999999988E-3</v>
      </c>
      <c r="AM37" s="124">
        <f t="shared" si="7"/>
        <v>6.4999999999999988E-3</v>
      </c>
      <c r="AN37" s="124">
        <f t="shared" si="7"/>
        <v>6.4999999999999988E-3</v>
      </c>
      <c r="AO37" s="124">
        <f t="shared" si="7"/>
        <v>9.9999999999999985E-3</v>
      </c>
      <c r="AP37" s="124">
        <f t="shared" si="7"/>
        <v>9.9999999999999985E-3</v>
      </c>
      <c r="AQ37" s="126">
        <f t="shared" si="7"/>
        <v>1.7499999999999995E-2</v>
      </c>
    </row>
    <row r="38" spans="2:44" x14ac:dyDescent="0.3">
      <c r="B38" s="125" t="s">
        <v>45</v>
      </c>
      <c r="C38" s="361"/>
      <c r="D38" s="248">
        <f>1/$C$10*D10*$L$16*D23</f>
        <v>0.94999999999999984</v>
      </c>
      <c r="E38" s="124">
        <f>1/$C$10*E10*$L$16*E23</f>
        <v>0.35000000000000003</v>
      </c>
      <c r="F38" s="124">
        <f>1/$C$10*F10*$L$16*F23</f>
        <v>0.3</v>
      </c>
      <c r="G38" s="251">
        <f>1/$C$10*G10*$L$16*G23</f>
        <v>0.6</v>
      </c>
      <c r="H38" s="248">
        <f t="shared" ref="H38:S38" si="13">1/$C$10*H10*$M$16*H23</f>
        <v>0.34999999999999992</v>
      </c>
      <c r="I38" s="124">
        <f t="shared" si="13"/>
        <v>0.34999999999999992</v>
      </c>
      <c r="J38" s="124">
        <f t="shared" si="13"/>
        <v>0.24999999999999997</v>
      </c>
      <c r="K38" s="124">
        <f t="shared" si="13"/>
        <v>0.2</v>
      </c>
      <c r="L38" s="124">
        <f t="shared" si="13"/>
        <v>0.12999999999999998</v>
      </c>
      <c r="M38" s="124">
        <f t="shared" si="13"/>
        <v>0.13</v>
      </c>
      <c r="N38" s="124">
        <f t="shared" si="13"/>
        <v>0.12999999999999998</v>
      </c>
      <c r="O38" s="124">
        <f t="shared" si="13"/>
        <v>0.12999999999999998</v>
      </c>
      <c r="P38" s="124">
        <f t="shared" si="13"/>
        <v>0.13</v>
      </c>
      <c r="Q38" s="124">
        <f t="shared" si="13"/>
        <v>0.20000000000000004</v>
      </c>
      <c r="R38" s="124">
        <f t="shared" si="13"/>
        <v>0.2</v>
      </c>
      <c r="S38" s="251">
        <f t="shared" si="13"/>
        <v>0.34999999999999992</v>
      </c>
      <c r="T38" s="248">
        <f t="shared" ref="T38:AE38" si="14">1/$C$10*$N$16*T23</f>
        <v>1.7499999999999995E-2</v>
      </c>
      <c r="U38" s="124">
        <f t="shared" si="14"/>
        <v>1.7499999999999995E-2</v>
      </c>
      <c r="V38" s="124">
        <f t="shared" si="14"/>
        <v>1.2499999999999999E-2</v>
      </c>
      <c r="W38" s="124">
        <f t="shared" si="14"/>
        <v>9.9999999999999985E-3</v>
      </c>
      <c r="X38" s="124">
        <f t="shared" si="14"/>
        <v>6.4999999999999988E-3</v>
      </c>
      <c r="Y38" s="124">
        <f t="shared" si="14"/>
        <v>6.4999999999999988E-3</v>
      </c>
      <c r="Z38" s="124">
        <f t="shared" si="14"/>
        <v>6.4999999999999988E-3</v>
      </c>
      <c r="AA38" s="124">
        <f t="shared" si="14"/>
        <v>6.4999999999999988E-3</v>
      </c>
      <c r="AB38" s="124">
        <f t="shared" si="14"/>
        <v>6.4999999999999988E-3</v>
      </c>
      <c r="AC38" s="124">
        <f>1/$C$10*$N$16*AC23</f>
        <v>9.9999999999999985E-3</v>
      </c>
      <c r="AD38" s="124">
        <f t="shared" si="14"/>
        <v>9.9999999999999985E-3</v>
      </c>
      <c r="AE38" s="126">
        <f t="shared" si="14"/>
        <v>1.7499999999999995E-2</v>
      </c>
      <c r="AF38" s="124">
        <f t="shared" si="10"/>
        <v>1.7499999999999995E-2</v>
      </c>
      <c r="AG38" s="124">
        <f t="shared" ref="AG38" si="15">U38</f>
        <v>1.7499999999999995E-2</v>
      </c>
      <c r="AH38" s="124">
        <f t="shared" ref="AH38" si="16">V38</f>
        <v>1.2499999999999999E-2</v>
      </c>
      <c r="AI38" s="124">
        <f t="shared" ref="AI38" si="17">W38</f>
        <v>9.9999999999999985E-3</v>
      </c>
      <c r="AJ38" s="124">
        <f t="shared" ref="AJ38" si="18">X38</f>
        <v>6.4999999999999988E-3</v>
      </c>
      <c r="AK38" s="124">
        <f t="shared" ref="AK38" si="19">Y38</f>
        <v>6.4999999999999988E-3</v>
      </c>
      <c r="AL38" s="124">
        <f t="shared" ref="AL38" si="20">Z38</f>
        <v>6.4999999999999988E-3</v>
      </c>
      <c r="AM38" s="124">
        <f t="shared" ref="AM38" si="21">AA38</f>
        <v>6.4999999999999988E-3</v>
      </c>
      <c r="AN38" s="124">
        <f t="shared" ref="AN38" si="22">AB38</f>
        <v>6.4999999999999988E-3</v>
      </c>
      <c r="AO38" s="124">
        <f t="shared" ref="AO38" si="23">AC38</f>
        <v>9.9999999999999985E-3</v>
      </c>
      <c r="AP38" s="124">
        <f t="shared" ref="AP38" si="24">AD38</f>
        <v>9.9999999999999985E-3</v>
      </c>
      <c r="AQ38" s="126">
        <f>AE38</f>
        <v>1.7499999999999995E-2</v>
      </c>
    </row>
    <row r="39" spans="2:44" x14ac:dyDescent="0.3">
      <c r="B39" s="127" t="s">
        <v>126</v>
      </c>
      <c r="C39" s="257">
        <f>'Kainos_ref. kainos 2020'!E96</f>
        <v>43.460027860471023</v>
      </c>
      <c r="D39" s="249">
        <f t="shared" ref="D39:AQ39" si="25">$C$39*D35</f>
        <v>13.395214066583534</v>
      </c>
      <c r="E39" s="104">
        <f t="shared" si="25"/>
        <v>13.544049778434463</v>
      </c>
      <c r="F39" s="104">
        <f t="shared" si="25"/>
        <v>13.692885490285393</v>
      </c>
      <c r="G39" s="252">
        <f t="shared" si="25"/>
        <v>13.692885490285393</v>
      </c>
      <c r="H39" s="249">
        <f t="shared" si="25"/>
        <v>5.5366884808545276</v>
      </c>
      <c r="I39" s="104">
        <f t="shared" si="25"/>
        <v>5.0008799181911865</v>
      </c>
      <c r="J39" s="104">
        <f t="shared" si="25"/>
        <v>5.5366884808545276</v>
      </c>
      <c r="K39" s="104">
        <f t="shared" si="25"/>
        <v>5.3580856266334136</v>
      </c>
      <c r="L39" s="104">
        <f t="shared" si="25"/>
        <v>5.5366884808545276</v>
      </c>
      <c r="M39" s="104">
        <f t="shared" si="25"/>
        <v>5.3580856266334136</v>
      </c>
      <c r="N39" s="104">
        <f t="shared" si="25"/>
        <v>5.5366884808545276</v>
      </c>
      <c r="O39" s="104">
        <f t="shared" si="25"/>
        <v>5.5366884808545276</v>
      </c>
      <c r="P39" s="104">
        <f t="shared" si="25"/>
        <v>5.3580856266334136</v>
      </c>
      <c r="Q39" s="104">
        <f t="shared" si="25"/>
        <v>5.5366884808545276</v>
      </c>
      <c r="R39" s="104">
        <f t="shared" si="25"/>
        <v>5.3580856266334136</v>
      </c>
      <c r="S39" s="252">
        <f t="shared" si="25"/>
        <v>5.5366884808545276</v>
      </c>
      <c r="T39" s="249">
        <f t="shared" si="25"/>
        <v>0.26790428133167066</v>
      </c>
      <c r="U39" s="104">
        <f t="shared" si="25"/>
        <v>0.26790428133167066</v>
      </c>
      <c r="V39" s="104">
        <f t="shared" si="25"/>
        <v>0.26790428133167066</v>
      </c>
      <c r="W39" s="104">
        <f t="shared" si="25"/>
        <v>0.26790428133167066</v>
      </c>
      <c r="X39" s="104">
        <f t="shared" si="25"/>
        <v>0.26790428133167066</v>
      </c>
      <c r="Y39" s="104">
        <f t="shared" si="25"/>
        <v>0.26790428133167066</v>
      </c>
      <c r="Z39" s="104">
        <f t="shared" si="25"/>
        <v>0.26790428133167066</v>
      </c>
      <c r="AA39" s="104">
        <f t="shared" si="25"/>
        <v>0.26790428133167066</v>
      </c>
      <c r="AB39" s="104">
        <f t="shared" si="25"/>
        <v>0.26790428133167066</v>
      </c>
      <c r="AC39" s="104">
        <f t="shared" si="25"/>
        <v>0.26790428133167066</v>
      </c>
      <c r="AD39" s="104">
        <f t="shared" si="25"/>
        <v>0.26790428133167066</v>
      </c>
      <c r="AE39" s="128">
        <f t="shared" si="25"/>
        <v>0.26790428133167066</v>
      </c>
      <c r="AF39" s="104">
        <f t="shared" si="25"/>
        <v>0.26790428133167066</v>
      </c>
      <c r="AG39" s="104">
        <f t="shared" si="25"/>
        <v>0.26790428133167066</v>
      </c>
      <c r="AH39" s="104">
        <f t="shared" si="25"/>
        <v>0.26790428133167066</v>
      </c>
      <c r="AI39" s="104">
        <f t="shared" si="25"/>
        <v>0.26790428133167066</v>
      </c>
      <c r="AJ39" s="104">
        <f t="shared" si="25"/>
        <v>0.26790428133167066</v>
      </c>
      <c r="AK39" s="104">
        <f t="shared" si="25"/>
        <v>0.26790428133167066</v>
      </c>
      <c r="AL39" s="104">
        <f t="shared" si="25"/>
        <v>0.26790428133167066</v>
      </c>
      <c r="AM39" s="104">
        <f t="shared" si="25"/>
        <v>0.26790428133167066</v>
      </c>
      <c r="AN39" s="104">
        <f t="shared" si="25"/>
        <v>0.26790428133167066</v>
      </c>
      <c r="AO39" s="104">
        <f t="shared" si="25"/>
        <v>0.26790428133167066</v>
      </c>
      <c r="AP39" s="104">
        <f t="shared" si="25"/>
        <v>0.26790428133167066</v>
      </c>
      <c r="AQ39" s="128">
        <f t="shared" si="25"/>
        <v>0.26790428133167066</v>
      </c>
    </row>
    <row r="40" spans="2:44" x14ac:dyDescent="0.3">
      <c r="B40" s="127" t="s">
        <v>138</v>
      </c>
      <c r="C40" s="257" t="str">
        <f>'Kainos_ref. kainos 2020'!E97</f>
        <v>-</v>
      </c>
      <c r="D40" s="249" t="s">
        <v>2</v>
      </c>
      <c r="E40" s="104" t="s">
        <v>2</v>
      </c>
      <c r="F40" s="104" t="s">
        <v>2</v>
      </c>
      <c r="G40" s="252" t="s">
        <v>2</v>
      </c>
      <c r="H40" s="249" t="s">
        <v>2</v>
      </c>
      <c r="I40" s="104" t="s">
        <v>2</v>
      </c>
      <c r="J40" s="104" t="s">
        <v>2</v>
      </c>
      <c r="K40" s="104" t="s">
        <v>2</v>
      </c>
      <c r="L40" s="104" t="s">
        <v>2</v>
      </c>
      <c r="M40" s="104" t="s">
        <v>2</v>
      </c>
      <c r="N40" s="104" t="s">
        <v>2</v>
      </c>
      <c r="O40" s="104" t="s">
        <v>2</v>
      </c>
      <c r="P40" s="104" t="s">
        <v>2</v>
      </c>
      <c r="Q40" s="104" t="s">
        <v>2</v>
      </c>
      <c r="R40" s="104" t="s">
        <v>2</v>
      </c>
      <c r="S40" s="252" t="s">
        <v>2</v>
      </c>
      <c r="T40" s="249" t="s">
        <v>2</v>
      </c>
      <c r="U40" s="104" t="s">
        <v>2</v>
      </c>
      <c r="V40" s="104" t="s">
        <v>2</v>
      </c>
      <c r="W40" s="104" t="s">
        <v>2</v>
      </c>
      <c r="X40" s="104" t="s">
        <v>2</v>
      </c>
      <c r="Y40" s="104" t="s">
        <v>2</v>
      </c>
      <c r="Z40" s="104" t="s">
        <v>2</v>
      </c>
      <c r="AA40" s="104" t="s">
        <v>2</v>
      </c>
      <c r="AB40" s="104" t="s">
        <v>2</v>
      </c>
      <c r="AC40" s="104" t="s">
        <v>2</v>
      </c>
      <c r="AD40" s="104" t="s">
        <v>2</v>
      </c>
      <c r="AE40" s="128" t="s">
        <v>2</v>
      </c>
      <c r="AF40" s="104" t="s">
        <v>2</v>
      </c>
      <c r="AG40" s="104" t="s">
        <v>2</v>
      </c>
      <c r="AH40" s="104" t="s">
        <v>2</v>
      </c>
      <c r="AI40" s="104" t="s">
        <v>2</v>
      </c>
      <c r="AJ40" s="104" t="s">
        <v>2</v>
      </c>
      <c r="AK40" s="104" t="s">
        <v>2</v>
      </c>
      <c r="AL40" s="104" t="s">
        <v>2</v>
      </c>
      <c r="AM40" s="104" t="s">
        <v>2</v>
      </c>
      <c r="AN40" s="104" t="s">
        <v>2</v>
      </c>
      <c r="AO40" s="104" t="s">
        <v>2</v>
      </c>
      <c r="AP40" s="104" t="s">
        <v>2</v>
      </c>
      <c r="AQ40" s="128" t="s">
        <v>2</v>
      </c>
    </row>
    <row r="41" spans="2:44" x14ac:dyDescent="0.3">
      <c r="B41" s="127" t="s">
        <v>51</v>
      </c>
      <c r="C41" s="257">
        <f>'Kainos_ref. kainos 2020'!E98</f>
        <v>43.460027860471023</v>
      </c>
      <c r="D41" s="249">
        <f t="shared" ref="D41:AQ41" si="26">$C$41*D35</f>
        <v>13.395214066583534</v>
      </c>
      <c r="E41" s="104">
        <f t="shared" si="26"/>
        <v>13.544049778434463</v>
      </c>
      <c r="F41" s="104">
        <f t="shared" si="26"/>
        <v>13.692885490285393</v>
      </c>
      <c r="G41" s="252">
        <f t="shared" si="26"/>
        <v>13.692885490285393</v>
      </c>
      <c r="H41" s="249">
        <f t="shared" si="26"/>
        <v>5.5366884808545276</v>
      </c>
      <c r="I41" s="104">
        <f t="shared" si="26"/>
        <v>5.0008799181911865</v>
      </c>
      <c r="J41" s="104">
        <f t="shared" si="26"/>
        <v>5.5366884808545276</v>
      </c>
      <c r="K41" s="104">
        <f t="shared" si="26"/>
        <v>5.3580856266334136</v>
      </c>
      <c r="L41" s="104">
        <f t="shared" si="26"/>
        <v>5.5366884808545276</v>
      </c>
      <c r="M41" s="104">
        <f t="shared" si="26"/>
        <v>5.3580856266334136</v>
      </c>
      <c r="N41" s="104">
        <f t="shared" si="26"/>
        <v>5.5366884808545276</v>
      </c>
      <c r="O41" s="104">
        <f t="shared" si="26"/>
        <v>5.5366884808545276</v>
      </c>
      <c r="P41" s="104">
        <f t="shared" si="26"/>
        <v>5.3580856266334136</v>
      </c>
      <c r="Q41" s="104">
        <f t="shared" si="26"/>
        <v>5.5366884808545276</v>
      </c>
      <c r="R41" s="104">
        <f t="shared" si="26"/>
        <v>5.3580856266334136</v>
      </c>
      <c r="S41" s="252">
        <f t="shared" si="26"/>
        <v>5.5366884808545276</v>
      </c>
      <c r="T41" s="249">
        <f t="shared" si="26"/>
        <v>0.26790428133167066</v>
      </c>
      <c r="U41" s="104">
        <f t="shared" si="26"/>
        <v>0.26790428133167066</v>
      </c>
      <c r="V41" s="104">
        <f t="shared" si="26"/>
        <v>0.26790428133167066</v>
      </c>
      <c r="W41" s="104">
        <f t="shared" si="26"/>
        <v>0.26790428133167066</v>
      </c>
      <c r="X41" s="104">
        <f t="shared" si="26"/>
        <v>0.26790428133167066</v>
      </c>
      <c r="Y41" s="104">
        <f t="shared" si="26"/>
        <v>0.26790428133167066</v>
      </c>
      <c r="Z41" s="104">
        <f t="shared" si="26"/>
        <v>0.26790428133167066</v>
      </c>
      <c r="AA41" s="104">
        <f t="shared" si="26"/>
        <v>0.26790428133167066</v>
      </c>
      <c r="AB41" s="104">
        <f t="shared" si="26"/>
        <v>0.26790428133167066</v>
      </c>
      <c r="AC41" s="104">
        <f t="shared" si="26"/>
        <v>0.26790428133167066</v>
      </c>
      <c r="AD41" s="104">
        <f t="shared" si="26"/>
        <v>0.26790428133167066</v>
      </c>
      <c r="AE41" s="128">
        <f t="shared" si="26"/>
        <v>0.26790428133167066</v>
      </c>
      <c r="AF41" s="104">
        <f t="shared" si="26"/>
        <v>0.26790428133167066</v>
      </c>
      <c r="AG41" s="104">
        <f t="shared" si="26"/>
        <v>0.26790428133167066</v>
      </c>
      <c r="AH41" s="104">
        <f t="shared" si="26"/>
        <v>0.26790428133167066</v>
      </c>
      <c r="AI41" s="104">
        <f t="shared" si="26"/>
        <v>0.26790428133167066</v>
      </c>
      <c r="AJ41" s="104">
        <f t="shared" si="26"/>
        <v>0.26790428133167066</v>
      </c>
      <c r="AK41" s="104">
        <f t="shared" si="26"/>
        <v>0.26790428133167066</v>
      </c>
      <c r="AL41" s="104">
        <f t="shared" si="26"/>
        <v>0.26790428133167066</v>
      </c>
      <c r="AM41" s="104">
        <f t="shared" si="26"/>
        <v>0.26790428133167066</v>
      </c>
      <c r="AN41" s="104">
        <f t="shared" si="26"/>
        <v>0.26790428133167066</v>
      </c>
      <c r="AO41" s="104">
        <f t="shared" si="26"/>
        <v>0.26790428133167066</v>
      </c>
      <c r="AP41" s="104">
        <f t="shared" si="26"/>
        <v>0.26790428133167066</v>
      </c>
      <c r="AQ41" s="128">
        <f t="shared" si="26"/>
        <v>0.26790428133167066</v>
      </c>
    </row>
    <row r="42" spans="2:44" x14ac:dyDescent="0.3">
      <c r="B42" s="127" t="s">
        <v>55</v>
      </c>
      <c r="C42" s="257">
        <f>'Kainos_ref. kainos 2020'!E99</f>
        <v>9.5590039696860352</v>
      </c>
      <c r="D42" s="249">
        <f t="shared" ref="D42:AQ42" si="27">$C$42*D35</f>
        <v>2.9462683468210384</v>
      </c>
      <c r="E42" s="104">
        <f t="shared" si="27"/>
        <v>2.9790046617857167</v>
      </c>
      <c r="F42" s="104">
        <f t="shared" si="27"/>
        <v>3.0117409767503949</v>
      </c>
      <c r="G42" s="252">
        <f t="shared" si="27"/>
        <v>3.0117409767503949</v>
      </c>
      <c r="H42" s="249">
        <f t="shared" si="27"/>
        <v>1.2177909166860292</v>
      </c>
      <c r="I42" s="104">
        <f t="shared" si="27"/>
        <v>1.0999401828131876</v>
      </c>
      <c r="J42" s="104">
        <f t="shared" si="27"/>
        <v>1.2177909166860292</v>
      </c>
      <c r="K42" s="104">
        <f t="shared" si="27"/>
        <v>1.1785073387284153</v>
      </c>
      <c r="L42" s="104">
        <f t="shared" si="27"/>
        <v>1.2177909166860292</v>
      </c>
      <c r="M42" s="104">
        <f t="shared" si="27"/>
        <v>1.1785073387284153</v>
      </c>
      <c r="N42" s="104">
        <f t="shared" si="27"/>
        <v>1.2177909166860292</v>
      </c>
      <c r="O42" s="104">
        <f t="shared" si="27"/>
        <v>1.2177909166860292</v>
      </c>
      <c r="P42" s="104">
        <f t="shared" si="27"/>
        <v>1.1785073387284153</v>
      </c>
      <c r="Q42" s="104">
        <f t="shared" si="27"/>
        <v>1.2177909166860292</v>
      </c>
      <c r="R42" s="104">
        <f t="shared" si="27"/>
        <v>1.1785073387284153</v>
      </c>
      <c r="S42" s="252">
        <f t="shared" si="27"/>
        <v>1.2177909166860292</v>
      </c>
      <c r="T42" s="249">
        <f t="shared" si="27"/>
        <v>5.892536693642076E-2</v>
      </c>
      <c r="U42" s="104">
        <f t="shared" si="27"/>
        <v>5.892536693642076E-2</v>
      </c>
      <c r="V42" s="104">
        <f t="shared" si="27"/>
        <v>5.892536693642076E-2</v>
      </c>
      <c r="W42" s="104">
        <f t="shared" si="27"/>
        <v>5.892536693642076E-2</v>
      </c>
      <c r="X42" s="104">
        <f t="shared" si="27"/>
        <v>5.892536693642076E-2</v>
      </c>
      <c r="Y42" s="104">
        <f t="shared" si="27"/>
        <v>5.892536693642076E-2</v>
      </c>
      <c r="Z42" s="104">
        <f t="shared" si="27"/>
        <v>5.892536693642076E-2</v>
      </c>
      <c r="AA42" s="104">
        <f t="shared" si="27"/>
        <v>5.892536693642076E-2</v>
      </c>
      <c r="AB42" s="104">
        <f t="shared" si="27"/>
        <v>5.892536693642076E-2</v>
      </c>
      <c r="AC42" s="104">
        <f t="shared" si="27"/>
        <v>5.892536693642076E-2</v>
      </c>
      <c r="AD42" s="104">
        <f t="shared" si="27"/>
        <v>5.892536693642076E-2</v>
      </c>
      <c r="AE42" s="128">
        <f t="shared" si="27"/>
        <v>5.892536693642076E-2</v>
      </c>
      <c r="AF42" s="104">
        <f t="shared" si="27"/>
        <v>5.892536693642076E-2</v>
      </c>
      <c r="AG42" s="104">
        <f t="shared" si="27"/>
        <v>5.892536693642076E-2</v>
      </c>
      <c r="AH42" s="104">
        <f t="shared" si="27"/>
        <v>5.892536693642076E-2</v>
      </c>
      <c r="AI42" s="104">
        <f t="shared" si="27"/>
        <v>5.892536693642076E-2</v>
      </c>
      <c r="AJ42" s="104">
        <f t="shared" si="27"/>
        <v>5.892536693642076E-2</v>
      </c>
      <c r="AK42" s="104">
        <f t="shared" si="27"/>
        <v>5.892536693642076E-2</v>
      </c>
      <c r="AL42" s="104">
        <f t="shared" si="27"/>
        <v>5.892536693642076E-2</v>
      </c>
      <c r="AM42" s="104">
        <f t="shared" si="27"/>
        <v>5.892536693642076E-2</v>
      </c>
      <c r="AN42" s="104">
        <f t="shared" si="27"/>
        <v>5.892536693642076E-2</v>
      </c>
      <c r="AO42" s="104">
        <f t="shared" si="27"/>
        <v>5.892536693642076E-2</v>
      </c>
      <c r="AP42" s="104">
        <f t="shared" si="27"/>
        <v>5.892536693642076E-2</v>
      </c>
      <c r="AQ42" s="128">
        <f t="shared" si="27"/>
        <v>5.892536693642076E-2</v>
      </c>
    </row>
    <row r="43" spans="2:44" x14ac:dyDescent="0.3">
      <c r="B43" s="127" t="s">
        <v>52</v>
      </c>
      <c r="C43" s="257">
        <f>'Kainos_ref. kainos 2020'!E100</f>
        <v>152.95011664883799</v>
      </c>
      <c r="D43" s="249">
        <f t="shared" ref="D43:AQ43" si="28">$C$43*D36</f>
        <v>47.142159241080208</v>
      </c>
      <c r="E43" s="104">
        <f t="shared" si="28"/>
        <v>47.665961010425541</v>
      </c>
      <c r="F43" s="104">
        <f t="shared" si="28"/>
        <v>48.189762779770881</v>
      </c>
      <c r="G43" s="252">
        <f t="shared" si="28"/>
        <v>48.189762779770881</v>
      </c>
      <c r="H43" s="249">
        <f t="shared" si="28"/>
        <v>18.186397431670049</v>
      </c>
      <c r="I43" s="104">
        <f t="shared" si="28"/>
        <v>16.426423486669723</v>
      </c>
      <c r="J43" s="104">
        <f t="shared" si="28"/>
        <v>18.186397431670049</v>
      </c>
      <c r="K43" s="104">
        <f t="shared" si="28"/>
        <v>17.599739450003273</v>
      </c>
      <c r="L43" s="104">
        <f t="shared" si="28"/>
        <v>18.186397431670049</v>
      </c>
      <c r="M43" s="104">
        <f t="shared" si="28"/>
        <v>17.599739450003273</v>
      </c>
      <c r="N43" s="104">
        <f t="shared" si="28"/>
        <v>18.186397431670049</v>
      </c>
      <c r="O43" s="104">
        <f t="shared" si="28"/>
        <v>18.186397431670049</v>
      </c>
      <c r="P43" s="104">
        <f t="shared" si="28"/>
        <v>17.599739450003273</v>
      </c>
      <c r="Q43" s="104">
        <f t="shared" si="28"/>
        <v>18.186397431670049</v>
      </c>
      <c r="R43" s="104">
        <f t="shared" si="28"/>
        <v>17.599739450003273</v>
      </c>
      <c r="S43" s="252">
        <f t="shared" si="28"/>
        <v>18.186397431670049</v>
      </c>
      <c r="T43" s="249">
        <f t="shared" si="28"/>
        <v>0.62856212321440275</v>
      </c>
      <c r="U43" s="104">
        <f t="shared" si="28"/>
        <v>0.62856212321440275</v>
      </c>
      <c r="V43" s="104">
        <f t="shared" si="28"/>
        <v>0.62856212321440275</v>
      </c>
      <c r="W43" s="104">
        <f t="shared" si="28"/>
        <v>0.62856212321440275</v>
      </c>
      <c r="X43" s="104">
        <f t="shared" si="28"/>
        <v>0.62856212321440275</v>
      </c>
      <c r="Y43" s="104">
        <f t="shared" si="28"/>
        <v>0.62856212321440275</v>
      </c>
      <c r="Z43" s="104">
        <f t="shared" si="28"/>
        <v>0.62856212321440275</v>
      </c>
      <c r="AA43" s="104">
        <f t="shared" si="28"/>
        <v>0.62856212321440275</v>
      </c>
      <c r="AB43" s="104">
        <f t="shared" si="28"/>
        <v>0.62856212321440275</v>
      </c>
      <c r="AC43" s="104">
        <f t="shared" si="28"/>
        <v>0.62856212321440275</v>
      </c>
      <c r="AD43" s="104">
        <f t="shared" si="28"/>
        <v>0.62856212321440275</v>
      </c>
      <c r="AE43" s="128">
        <f t="shared" si="28"/>
        <v>0.62856212321440275</v>
      </c>
      <c r="AF43" s="104">
        <f t="shared" si="28"/>
        <v>0.62856212321440275</v>
      </c>
      <c r="AG43" s="104">
        <f t="shared" si="28"/>
        <v>0.62856212321440275</v>
      </c>
      <c r="AH43" s="104">
        <f t="shared" si="28"/>
        <v>0.62856212321440275</v>
      </c>
      <c r="AI43" s="104">
        <f t="shared" si="28"/>
        <v>0.62856212321440275</v>
      </c>
      <c r="AJ43" s="104">
        <f t="shared" si="28"/>
        <v>0.62856212321440275</v>
      </c>
      <c r="AK43" s="104">
        <f t="shared" si="28"/>
        <v>0.62856212321440275</v>
      </c>
      <c r="AL43" s="104">
        <f t="shared" si="28"/>
        <v>0.62856212321440275</v>
      </c>
      <c r="AM43" s="104">
        <f t="shared" si="28"/>
        <v>0.62856212321440275</v>
      </c>
      <c r="AN43" s="104">
        <f t="shared" si="28"/>
        <v>0.62856212321440275</v>
      </c>
      <c r="AO43" s="104">
        <f t="shared" si="28"/>
        <v>0.62856212321440275</v>
      </c>
      <c r="AP43" s="104">
        <f t="shared" si="28"/>
        <v>0.62856212321440275</v>
      </c>
      <c r="AQ43" s="128">
        <f t="shared" si="28"/>
        <v>0.62856212321440275</v>
      </c>
    </row>
    <row r="44" spans="2:44" x14ac:dyDescent="0.3">
      <c r="B44" s="127" t="s">
        <v>53</v>
      </c>
      <c r="C44" s="257">
        <f>'Kainos_ref. kainos 2020'!E101</f>
        <v>31.716427322226693</v>
      </c>
      <c r="D44" s="249">
        <f t="shared" ref="D44:AQ44" si="29">$C$44*D37</f>
        <v>30.130605956115353</v>
      </c>
      <c r="E44" s="104">
        <f t="shared" si="29"/>
        <v>11.100749562779344</v>
      </c>
      <c r="F44" s="104">
        <f t="shared" si="29"/>
        <v>9.5149281966680075</v>
      </c>
      <c r="G44" s="252">
        <f t="shared" si="29"/>
        <v>19.029856393336015</v>
      </c>
      <c r="H44" s="249">
        <f t="shared" si="29"/>
        <v>11.10074956277934</v>
      </c>
      <c r="I44" s="104">
        <f t="shared" si="29"/>
        <v>11.10074956277934</v>
      </c>
      <c r="J44" s="104">
        <f t="shared" si="29"/>
        <v>7.9291068305566723</v>
      </c>
      <c r="K44" s="104">
        <f t="shared" si="29"/>
        <v>6.3432854644453389</v>
      </c>
      <c r="L44" s="104">
        <f t="shared" si="29"/>
        <v>4.1231355518894697</v>
      </c>
      <c r="M44" s="104">
        <f t="shared" si="29"/>
        <v>4.1231355518894706</v>
      </c>
      <c r="N44" s="104">
        <f t="shared" si="29"/>
        <v>4.1231355518894697</v>
      </c>
      <c r="O44" s="104">
        <f t="shared" si="29"/>
        <v>4.1231355518894697</v>
      </c>
      <c r="P44" s="104">
        <f t="shared" si="29"/>
        <v>4.1231355518894706</v>
      </c>
      <c r="Q44" s="104">
        <f t="shared" si="29"/>
        <v>6.3432854644453398</v>
      </c>
      <c r="R44" s="104">
        <f t="shared" si="29"/>
        <v>6.3432854644453389</v>
      </c>
      <c r="S44" s="252">
        <f t="shared" si="29"/>
        <v>11.10074956277934</v>
      </c>
      <c r="T44" s="249">
        <f t="shared" si="29"/>
        <v>0.55503747813896698</v>
      </c>
      <c r="U44" s="104">
        <f t="shared" si="29"/>
        <v>0.55503747813896698</v>
      </c>
      <c r="V44" s="104">
        <f t="shared" si="29"/>
        <v>0.39645534152783363</v>
      </c>
      <c r="W44" s="104">
        <f t="shared" si="29"/>
        <v>0.31716427322226687</v>
      </c>
      <c r="X44" s="104">
        <f t="shared" si="29"/>
        <v>0.20615677759447346</v>
      </c>
      <c r="Y44" s="104">
        <f t="shared" si="29"/>
        <v>0.20615677759447346</v>
      </c>
      <c r="Z44" s="104">
        <f t="shared" si="29"/>
        <v>0.20615677759447346</v>
      </c>
      <c r="AA44" s="104">
        <f t="shared" si="29"/>
        <v>0.20615677759447346</v>
      </c>
      <c r="AB44" s="104">
        <f t="shared" si="29"/>
        <v>0.20615677759447346</v>
      </c>
      <c r="AC44" s="104">
        <f t="shared" si="29"/>
        <v>0.31716427322226687</v>
      </c>
      <c r="AD44" s="104">
        <f t="shared" si="29"/>
        <v>0.31716427322226687</v>
      </c>
      <c r="AE44" s="128">
        <f t="shared" si="29"/>
        <v>0.55503747813896698</v>
      </c>
      <c r="AF44" s="104">
        <f t="shared" si="29"/>
        <v>0.55503747813896698</v>
      </c>
      <c r="AG44" s="104">
        <f t="shared" si="29"/>
        <v>0.55503747813896698</v>
      </c>
      <c r="AH44" s="104">
        <f t="shared" si="29"/>
        <v>0.39645534152783363</v>
      </c>
      <c r="AI44" s="104">
        <f t="shared" si="29"/>
        <v>0.31716427322226687</v>
      </c>
      <c r="AJ44" s="104">
        <f t="shared" si="29"/>
        <v>0.20615677759447346</v>
      </c>
      <c r="AK44" s="104">
        <f t="shared" si="29"/>
        <v>0.20615677759447346</v>
      </c>
      <c r="AL44" s="104">
        <f t="shared" si="29"/>
        <v>0.20615677759447346</v>
      </c>
      <c r="AM44" s="104">
        <f t="shared" si="29"/>
        <v>0.20615677759447346</v>
      </c>
      <c r="AN44" s="104">
        <f t="shared" si="29"/>
        <v>0.20615677759447346</v>
      </c>
      <c r="AO44" s="104">
        <f t="shared" si="29"/>
        <v>0.31716427322226687</v>
      </c>
      <c r="AP44" s="104">
        <f t="shared" si="29"/>
        <v>0.31716427322226687</v>
      </c>
      <c r="AQ44" s="128">
        <f t="shared" si="29"/>
        <v>0.55503747813896698</v>
      </c>
    </row>
    <row r="45" spans="2:44" x14ac:dyDescent="0.3">
      <c r="B45" s="127" t="s">
        <v>54</v>
      </c>
      <c r="C45" s="257">
        <f>'Kainos_ref. kainos 2020'!E103</f>
        <v>101.60037552122736</v>
      </c>
      <c r="D45" s="249">
        <f t="shared" ref="D45:AQ45" si="30">$C$45*D38</f>
        <v>96.520356745165984</v>
      </c>
      <c r="E45" s="104">
        <f t="shared" si="30"/>
        <v>35.560131432429579</v>
      </c>
      <c r="F45" s="104">
        <f t="shared" si="30"/>
        <v>30.480112656368206</v>
      </c>
      <c r="G45" s="252">
        <f t="shared" si="30"/>
        <v>60.960225312736412</v>
      </c>
      <c r="H45" s="249">
        <f t="shared" si="30"/>
        <v>35.560131432429571</v>
      </c>
      <c r="I45" s="104">
        <f t="shared" si="30"/>
        <v>35.560131432429571</v>
      </c>
      <c r="J45" s="104">
        <f t="shared" si="30"/>
        <v>25.400093880306837</v>
      </c>
      <c r="K45" s="104">
        <f t="shared" si="30"/>
        <v>20.320075104245475</v>
      </c>
      <c r="L45" s="104">
        <f t="shared" si="30"/>
        <v>13.208048817759554</v>
      </c>
      <c r="M45" s="104">
        <f t="shared" si="30"/>
        <v>13.208048817759558</v>
      </c>
      <c r="N45" s="104">
        <f t="shared" si="30"/>
        <v>13.208048817759554</v>
      </c>
      <c r="O45" s="104">
        <f t="shared" si="30"/>
        <v>13.208048817759554</v>
      </c>
      <c r="P45" s="104">
        <f t="shared" si="30"/>
        <v>13.208048817759558</v>
      </c>
      <c r="Q45" s="104">
        <f t="shared" si="30"/>
        <v>20.320075104245475</v>
      </c>
      <c r="R45" s="104">
        <f t="shared" si="30"/>
        <v>20.320075104245475</v>
      </c>
      <c r="S45" s="252">
        <f t="shared" si="30"/>
        <v>35.560131432429571</v>
      </c>
      <c r="T45" s="249">
        <f t="shared" si="30"/>
        <v>1.7780065716214783</v>
      </c>
      <c r="U45" s="104">
        <f t="shared" si="30"/>
        <v>1.7780065716214783</v>
      </c>
      <c r="V45" s="104">
        <f t="shared" si="30"/>
        <v>1.270004694015342</v>
      </c>
      <c r="W45" s="104">
        <f t="shared" si="30"/>
        <v>1.0160037552122734</v>
      </c>
      <c r="X45" s="104">
        <f t="shared" si="30"/>
        <v>0.66040244088797773</v>
      </c>
      <c r="Y45" s="104">
        <f t="shared" si="30"/>
        <v>0.66040244088797773</v>
      </c>
      <c r="Z45" s="104">
        <f t="shared" si="30"/>
        <v>0.66040244088797773</v>
      </c>
      <c r="AA45" s="104">
        <f t="shared" si="30"/>
        <v>0.66040244088797773</v>
      </c>
      <c r="AB45" s="104">
        <f t="shared" si="30"/>
        <v>0.66040244088797773</v>
      </c>
      <c r="AC45" s="104">
        <f t="shared" si="30"/>
        <v>1.0160037552122734</v>
      </c>
      <c r="AD45" s="104">
        <f t="shared" si="30"/>
        <v>1.0160037552122734</v>
      </c>
      <c r="AE45" s="128">
        <f t="shared" si="30"/>
        <v>1.7780065716214783</v>
      </c>
      <c r="AF45" s="104">
        <f t="shared" si="30"/>
        <v>1.7780065716214783</v>
      </c>
      <c r="AG45" s="104">
        <f t="shared" si="30"/>
        <v>1.7780065716214783</v>
      </c>
      <c r="AH45" s="104">
        <f t="shared" si="30"/>
        <v>1.270004694015342</v>
      </c>
      <c r="AI45" s="104">
        <f t="shared" si="30"/>
        <v>1.0160037552122734</v>
      </c>
      <c r="AJ45" s="104">
        <f t="shared" si="30"/>
        <v>0.66040244088797773</v>
      </c>
      <c r="AK45" s="104">
        <f t="shared" si="30"/>
        <v>0.66040244088797773</v>
      </c>
      <c r="AL45" s="104">
        <f t="shared" si="30"/>
        <v>0.66040244088797773</v>
      </c>
      <c r="AM45" s="104">
        <f t="shared" si="30"/>
        <v>0.66040244088797773</v>
      </c>
      <c r="AN45" s="104">
        <f t="shared" si="30"/>
        <v>0.66040244088797773</v>
      </c>
      <c r="AO45" s="104">
        <f t="shared" si="30"/>
        <v>1.0160037552122734</v>
      </c>
      <c r="AP45" s="104">
        <f t="shared" si="30"/>
        <v>1.0160037552122734</v>
      </c>
      <c r="AQ45" s="128">
        <f t="shared" si="30"/>
        <v>1.7780065716214783</v>
      </c>
    </row>
    <row r="46" spans="2:44" ht="15.6" x14ac:dyDescent="0.3">
      <c r="B46" s="359" t="s">
        <v>140</v>
      </c>
      <c r="C46" s="360"/>
      <c r="D46" s="360"/>
      <c r="E46" s="360"/>
      <c r="F46" s="360"/>
      <c r="G46" s="360"/>
      <c r="H46" s="360"/>
      <c r="I46" s="360"/>
      <c r="J46" s="360"/>
      <c r="K46" s="360"/>
      <c r="L46" s="360"/>
      <c r="M46" s="360"/>
      <c r="N46" s="360"/>
      <c r="O46" s="360"/>
      <c r="P46" s="360"/>
      <c r="Q46" s="360"/>
      <c r="R46" s="360"/>
      <c r="S46" s="360"/>
      <c r="T46" s="360"/>
      <c r="U46" s="360"/>
      <c r="V46" s="360"/>
      <c r="W46" s="360"/>
      <c r="X46" s="360"/>
      <c r="Y46" s="360"/>
      <c r="Z46" s="360"/>
      <c r="AA46" s="360"/>
      <c r="AB46" s="360"/>
      <c r="AC46" s="360"/>
      <c r="AD46" s="360"/>
      <c r="AE46" s="360"/>
      <c r="AF46" s="360"/>
      <c r="AG46" s="360"/>
      <c r="AH46" s="360"/>
      <c r="AI46" s="360"/>
      <c r="AJ46" s="360"/>
      <c r="AK46" s="360"/>
      <c r="AL46" s="360"/>
      <c r="AM46" s="360"/>
      <c r="AN46" s="360"/>
      <c r="AO46" s="360"/>
      <c r="AP46" s="360"/>
      <c r="AQ46" s="360"/>
    </row>
    <row r="47" spans="2:44" ht="14.4" customHeight="1" x14ac:dyDescent="0.3">
      <c r="B47" s="131"/>
      <c r="C47" s="351" t="s">
        <v>46</v>
      </c>
      <c r="D47" s="354" t="s">
        <v>47</v>
      </c>
      <c r="E47" s="354"/>
      <c r="F47" s="354"/>
      <c r="G47" s="355"/>
      <c r="H47" s="354" t="s">
        <v>48</v>
      </c>
      <c r="I47" s="354"/>
      <c r="J47" s="354"/>
      <c r="K47" s="354"/>
      <c r="L47" s="354"/>
      <c r="M47" s="354"/>
      <c r="N47" s="354"/>
      <c r="O47" s="354"/>
      <c r="P47" s="354"/>
      <c r="Q47" s="354"/>
      <c r="R47" s="354"/>
      <c r="S47" s="355"/>
      <c r="T47" s="354" t="s">
        <v>49</v>
      </c>
      <c r="U47" s="354"/>
      <c r="V47" s="354"/>
      <c r="W47" s="354"/>
      <c r="X47" s="354"/>
      <c r="Y47" s="354"/>
      <c r="Z47" s="354"/>
      <c r="AA47" s="354"/>
      <c r="AB47" s="354"/>
      <c r="AC47" s="354"/>
      <c r="AD47" s="354"/>
      <c r="AE47" s="356"/>
      <c r="AF47" s="362" t="s">
        <v>50</v>
      </c>
      <c r="AG47" s="354"/>
      <c r="AH47" s="354"/>
      <c r="AI47" s="354"/>
      <c r="AJ47" s="354"/>
      <c r="AK47" s="354"/>
      <c r="AL47" s="354"/>
      <c r="AM47" s="354"/>
      <c r="AN47" s="354"/>
      <c r="AO47" s="354"/>
      <c r="AP47" s="354"/>
      <c r="AQ47" s="356"/>
    </row>
    <row r="48" spans="2:44" x14ac:dyDescent="0.3">
      <c r="B48" s="125" t="s">
        <v>41</v>
      </c>
      <c r="C48" s="352"/>
      <c r="D48" s="304" t="s">
        <v>35</v>
      </c>
      <c r="E48" s="304" t="s">
        <v>36</v>
      </c>
      <c r="F48" s="304" t="s">
        <v>37</v>
      </c>
      <c r="G48" s="250" t="s">
        <v>38</v>
      </c>
      <c r="H48" s="303" t="s">
        <v>16</v>
      </c>
      <c r="I48" s="304" t="s">
        <v>17</v>
      </c>
      <c r="J48" s="304" t="s">
        <v>18</v>
      </c>
      <c r="K48" s="304" t="s">
        <v>19</v>
      </c>
      <c r="L48" s="304" t="s">
        <v>20</v>
      </c>
      <c r="M48" s="304" t="s">
        <v>21</v>
      </c>
      <c r="N48" s="304" t="s">
        <v>22</v>
      </c>
      <c r="O48" s="304" t="s">
        <v>23</v>
      </c>
      <c r="P48" s="304" t="s">
        <v>24</v>
      </c>
      <c r="Q48" s="304" t="s">
        <v>25</v>
      </c>
      <c r="R48" s="304" t="s">
        <v>26</v>
      </c>
      <c r="S48" s="302" t="s">
        <v>27</v>
      </c>
      <c r="T48" s="219" t="s">
        <v>16</v>
      </c>
      <c r="U48" s="304" t="s">
        <v>17</v>
      </c>
      <c r="V48" s="304" t="s">
        <v>18</v>
      </c>
      <c r="W48" s="304" t="s">
        <v>19</v>
      </c>
      <c r="X48" s="304" t="s">
        <v>20</v>
      </c>
      <c r="Y48" s="304" t="s">
        <v>21</v>
      </c>
      <c r="Z48" s="304" t="s">
        <v>22</v>
      </c>
      <c r="AA48" s="304" t="s">
        <v>23</v>
      </c>
      <c r="AB48" s="304" t="s">
        <v>24</v>
      </c>
      <c r="AC48" s="304" t="s">
        <v>25</v>
      </c>
      <c r="AD48" s="304" t="s">
        <v>26</v>
      </c>
      <c r="AE48" s="302" t="s">
        <v>27</v>
      </c>
      <c r="AF48" s="219" t="s">
        <v>16</v>
      </c>
      <c r="AG48" s="304" t="s">
        <v>17</v>
      </c>
      <c r="AH48" s="304" t="s">
        <v>18</v>
      </c>
      <c r="AI48" s="304" t="s">
        <v>19</v>
      </c>
      <c r="AJ48" s="304" t="s">
        <v>20</v>
      </c>
      <c r="AK48" s="304" t="s">
        <v>21</v>
      </c>
      <c r="AL48" s="304" t="s">
        <v>22</v>
      </c>
      <c r="AM48" s="304" t="s">
        <v>23</v>
      </c>
      <c r="AN48" s="304" t="s">
        <v>24</v>
      </c>
      <c r="AO48" s="304" t="s">
        <v>25</v>
      </c>
      <c r="AP48" s="304" t="s">
        <v>26</v>
      </c>
      <c r="AQ48" s="302" t="s">
        <v>27</v>
      </c>
      <c r="AR48" s="305"/>
    </row>
    <row r="49" spans="2:44" x14ac:dyDescent="0.3">
      <c r="B49" s="125" t="s">
        <v>42</v>
      </c>
      <c r="C49" s="352"/>
      <c r="D49" s="248">
        <f>1/$C$11*D11*$D$17</f>
        <v>0.27349726775956285</v>
      </c>
      <c r="E49" s="124">
        <f>1/$C$11*E11*$D$17</f>
        <v>0.27349726775956285</v>
      </c>
      <c r="F49" s="124">
        <f>1/$C$11*F11*$D$17</f>
        <v>0.2765027322404372</v>
      </c>
      <c r="G49" s="251">
        <f>1/$C$11*G11*$D$17</f>
        <v>0.2765027322404372</v>
      </c>
      <c r="H49" s="248">
        <f t="shared" ref="H49:S49" si="31">1/$C$11*H11*$E$17</f>
        <v>0.1058743169398907</v>
      </c>
      <c r="I49" s="124">
        <f t="shared" si="31"/>
        <v>9.9043715846994534E-2</v>
      </c>
      <c r="J49" s="124">
        <f t="shared" si="31"/>
        <v>0.1058743169398907</v>
      </c>
      <c r="K49" s="124">
        <f t="shared" si="31"/>
        <v>0.10245901639344261</v>
      </c>
      <c r="L49" s="124">
        <f t="shared" si="31"/>
        <v>0.1058743169398907</v>
      </c>
      <c r="M49" s="124">
        <f t="shared" si="31"/>
        <v>0.10245901639344261</v>
      </c>
      <c r="N49" s="124">
        <f t="shared" si="31"/>
        <v>0.1058743169398907</v>
      </c>
      <c r="O49" s="124">
        <f t="shared" si="31"/>
        <v>0.1058743169398907</v>
      </c>
      <c r="P49" s="124">
        <f t="shared" si="31"/>
        <v>0.10245901639344261</v>
      </c>
      <c r="Q49" s="124">
        <f t="shared" si="31"/>
        <v>0.1058743169398907</v>
      </c>
      <c r="R49" s="124">
        <f t="shared" si="31"/>
        <v>0.10245901639344261</v>
      </c>
      <c r="S49" s="251">
        <f t="shared" si="31"/>
        <v>0.1058743169398907</v>
      </c>
      <c r="T49" s="248">
        <f t="shared" ref="T49:AE49" si="32">1/$C$11*$F$17</f>
        <v>4.0983606557377051E-3</v>
      </c>
      <c r="U49" s="124">
        <f t="shared" si="32"/>
        <v>4.0983606557377051E-3</v>
      </c>
      <c r="V49" s="124">
        <f t="shared" si="32"/>
        <v>4.0983606557377051E-3</v>
      </c>
      <c r="W49" s="124">
        <f t="shared" si="32"/>
        <v>4.0983606557377051E-3</v>
      </c>
      <c r="X49" s="124">
        <f t="shared" si="32"/>
        <v>4.0983606557377051E-3</v>
      </c>
      <c r="Y49" s="124">
        <f t="shared" si="32"/>
        <v>4.0983606557377051E-3</v>
      </c>
      <c r="Z49" s="124">
        <f t="shared" si="32"/>
        <v>4.0983606557377051E-3</v>
      </c>
      <c r="AA49" s="124">
        <f t="shared" si="32"/>
        <v>4.0983606557377051E-3</v>
      </c>
      <c r="AB49" s="124">
        <f t="shared" si="32"/>
        <v>4.0983606557377051E-3</v>
      </c>
      <c r="AC49" s="124">
        <f t="shared" si="32"/>
        <v>4.0983606557377051E-3</v>
      </c>
      <c r="AD49" s="124">
        <f t="shared" si="32"/>
        <v>4.0983606557377051E-3</v>
      </c>
      <c r="AE49" s="126">
        <f t="shared" si="32"/>
        <v>4.0983606557377051E-3</v>
      </c>
      <c r="AF49" s="124">
        <f t="shared" ref="AF49:AQ49" si="33">1/$C$11*$G$17</f>
        <v>4.0983606557377051E-3</v>
      </c>
      <c r="AG49" s="124">
        <f t="shared" si="33"/>
        <v>4.0983606557377051E-3</v>
      </c>
      <c r="AH49" s="124">
        <f t="shared" si="33"/>
        <v>4.0983606557377051E-3</v>
      </c>
      <c r="AI49" s="124">
        <f t="shared" si="33"/>
        <v>4.0983606557377051E-3</v>
      </c>
      <c r="AJ49" s="124">
        <f t="shared" si="33"/>
        <v>4.0983606557377051E-3</v>
      </c>
      <c r="AK49" s="124">
        <f t="shared" si="33"/>
        <v>4.0983606557377051E-3</v>
      </c>
      <c r="AL49" s="124">
        <f t="shared" si="33"/>
        <v>4.0983606557377051E-3</v>
      </c>
      <c r="AM49" s="124">
        <f t="shared" si="33"/>
        <v>4.0983606557377051E-3</v>
      </c>
      <c r="AN49" s="124">
        <f t="shared" si="33"/>
        <v>4.0983606557377051E-3</v>
      </c>
      <c r="AO49" s="124">
        <f t="shared" si="33"/>
        <v>4.0983606557377051E-3</v>
      </c>
      <c r="AP49" s="124">
        <f t="shared" si="33"/>
        <v>4.0983606557377051E-3</v>
      </c>
      <c r="AQ49" s="126">
        <f t="shared" si="33"/>
        <v>4.0983606557377051E-3</v>
      </c>
    </row>
    <row r="50" spans="2:44" x14ac:dyDescent="0.3">
      <c r="B50" s="125" t="s">
        <v>43</v>
      </c>
      <c r="C50" s="352"/>
      <c r="D50" s="248">
        <f>1/$C$11*D11*$H$17</f>
        <v>0.27349726775956285</v>
      </c>
      <c r="E50" s="124">
        <f>1/$C$11*E11*$H$17</f>
        <v>0.27349726775956285</v>
      </c>
      <c r="F50" s="124">
        <f>1/$C$11*F11*$H$17</f>
        <v>0.2765027322404372</v>
      </c>
      <c r="G50" s="251">
        <f>1/$C$11*G11*$H$17</f>
        <v>0.2765027322404372</v>
      </c>
      <c r="H50" s="248">
        <f t="shared" ref="H50:S50" si="34">1/$C$11*H11*$I$17</f>
        <v>0.1058743169398907</v>
      </c>
      <c r="I50" s="124">
        <f t="shared" si="34"/>
        <v>9.9043715846994534E-2</v>
      </c>
      <c r="J50" s="124">
        <f t="shared" si="34"/>
        <v>0.1058743169398907</v>
      </c>
      <c r="K50" s="124">
        <f t="shared" si="34"/>
        <v>0.10245901639344261</v>
      </c>
      <c r="L50" s="124">
        <f t="shared" si="34"/>
        <v>0.1058743169398907</v>
      </c>
      <c r="M50" s="124">
        <f t="shared" si="34"/>
        <v>0.10245901639344261</v>
      </c>
      <c r="N50" s="124">
        <f t="shared" si="34"/>
        <v>0.1058743169398907</v>
      </c>
      <c r="O50" s="124">
        <f t="shared" si="34"/>
        <v>0.1058743169398907</v>
      </c>
      <c r="P50" s="124">
        <f t="shared" si="34"/>
        <v>0.10245901639344261</v>
      </c>
      <c r="Q50" s="124">
        <f t="shared" si="34"/>
        <v>0.1058743169398907</v>
      </c>
      <c r="R50" s="124">
        <f t="shared" si="34"/>
        <v>0.10245901639344261</v>
      </c>
      <c r="S50" s="251">
        <f t="shared" si="34"/>
        <v>0.1058743169398907</v>
      </c>
      <c r="T50" s="248">
        <f t="shared" ref="T50:AD50" si="35">1/$C$11*$J$17</f>
        <v>4.0983606557377051E-3</v>
      </c>
      <c r="U50" s="124">
        <f t="shared" si="35"/>
        <v>4.0983606557377051E-3</v>
      </c>
      <c r="V50" s="124">
        <f t="shared" si="35"/>
        <v>4.0983606557377051E-3</v>
      </c>
      <c r="W50" s="124">
        <f t="shared" si="35"/>
        <v>4.0983606557377051E-3</v>
      </c>
      <c r="X50" s="124">
        <f t="shared" si="35"/>
        <v>4.0983606557377051E-3</v>
      </c>
      <c r="Y50" s="124">
        <f t="shared" si="35"/>
        <v>4.0983606557377051E-3</v>
      </c>
      <c r="Z50" s="124">
        <f t="shared" si="35"/>
        <v>4.0983606557377051E-3</v>
      </c>
      <c r="AA50" s="124">
        <f t="shared" si="35"/>
        <v>4.0983606557377051E-3</v>
      </c>
      <c r="AB50" s="124">
        <f t="shared" si="35"/>
        <v>4.0983606557377051E-3</v>
      </c>
      <c r="AC50" s="124">
        <f t="shared" si="35"/>
        <v>4.0983606557377051E-3</v>
      </c>
      <c r="AD50" s="124">
        <f t="shared" si="35"/>
        <v>4.0983606557377051E-3</v>
      </c>
      <c r="AE50" s="126">
        <f>1/$C$11*$J$17</f>
        <v>4.0983606557377051E-3</v>
      </c>
      <c r="AF50" s="124">
        <f t="shared" ref="AF50:AP50" si="36">1/$C$11*$K$17</f>
        <v>4.0983606557377051E-3</v>
      </c>
      <c r="AG50" s="124">
        <f t="shared" si="36"/>
        <v>4.0983606557377051E-3</v>
      </c>
      <c r="AH50" s="124">
        <f t="shared" si="36"/>
        <v>4.0983606557377051E-3</v>
      </c>
      <c r="AI50" s="124">
        <f t="shared" si="36"/>
        <v>4.0983606557377051E-3</v>
      </c>
      <c r="AJ50" s="124">
        <f t="shared" si="36"/>
        <v>4.0983606557377051E-3</v>
      </c>
      <c r="AK50" s="124">
        <f t="shared" si="36"/>
        <v>4.0983606557377051E-3</v>
      </c>
      <c r="AL50" s="124">
        <f t="shared" si="36"/>
        <v>4.0983606557377051E-3</v>
      </c>
      <c r="AM50" s="124">
        <f t="shared" si="36"/>
        <v>4.0983606557377051E-3</v>
      </c>
      <c r="AN50" s="124">
        <f t="shared" si="36"/>
        <v>4.0983606557377051E-3</v>
      </c>
      <c r="AO50" s="124">
        <f t="shared" si="36"/>
        <v>4.0983606557377051E-3</v>
      </c>
      <c r="AP50" s="124">
        <f t="shared" si="36"/>
        <v>4.0983606557377051E-3</v>
      </c>
      <c r="AQ50" s="126">
        <f>1/$C$11*$K$17</f>
        <v>4.0983606557377051E-3</v>
      </c>
    </row>
    <row r="51" spans="2:44" x14ac:dyDescent="0.3">
      <c r="B51" s="125" t="s">
        <v>44</v>
      </c>
      <c r="C51" s="352"/>
      <c r="D51" s="248">
        <f>1/$C$11*D11*$L$17*D29</f>
        <v>0.49415983606557379</v>
      </c>
      <c r="E51" s="124">
        <f>1/$C$11*E11*$L$17*E29</f>
        <v>0.20512295081967213</v>
      </c>
      <c r="F51" s="124">
        <f>1/$C$11*F11*$L$17*F29</f>
        <v>0.20423497267759563</v>
      </c>
      <c r="G51" s="251">
        <f>1/$C$11*G11*$L$17*G29</f>
        <v>0.3456284153005465</v>
      </c>
      <c r="H51" s="248">
        <f t="shared" ref="H51:S51" si="37">1/$C$11*H11*$M$17*H29</f>
        <v>0.20709016393442622</v>
      </c>
      <c r="I51" s="124">
        <f t="shared" si="37"/>
        <v>0.17233606557377049</v>
      </c>
      <c r="J51" s="124">
        <f t="shared" si="37"/>
        <v>0.21598360655737706</v>
      </c>
      <c r="K51" s="124">
        <f t="shared" si="37"/>
        <v>9.0983606557377042E-2</v>
      </c>
      <c r="L51" s="124">
        <f t="shared" si="37"/>
        <v>7.4959016393442615E-2</v>
      </c>
      <c r="M51" s="124">
        <f t="shared" si="37"/>
        <v>7.9918032786885251E-2</v>
      </c>
      <c r="N51" s="124">
        <f t="shared" si="37"/>
        <v>5.463114754098361E-2</v>
      </c>
      <c r="O51" s="124">
        <f t="shared" si="37"/>
        <v>8.5122950819672139E-2</v>
      </c>
      <c r="P51" s="124">
        <f t="shared" si="37"/>
        <v>0.10327868852459016</v>
      </c>
      <c r="Q51" s="124">
        <f t="shared" si="37"/>
        <v>0.13467213114754098</v>
      </c>
      <c r="R51" s="124">
        <f t="shared" si="37"/>
        <v>0.14016393442622949</v>
      </c>
      <c r="S51" s="251">
        <f t="shared" si="37"/>
        <v>0.14102459016393445</v>
      </c>
      <c r="T51" s="248">
        <f t="shared" ref="T51:AE51" si="38">1/$C$11*$N$17*T29</f>
        <v>1.3360655737704917E-2</v>
      </c>
      <c r="U51" s="124">
        <f t="shared" si="38"/>
        <v>1.1885245901639344E-2</v>
      </c>
      <c r="V51" s="124">
        <f t="shared" si="38"/>
        <v>1.3934426229508197E-2</v>
      </c>
      <c r="W51" s="124">
        <f t="shared" si="38"/>
        <v>6.0655737704918035E-3</v>
      </c>
      <c r="X51" s="124">
        <f t="shared" si="38"/>
        <v>4.8360655737704917E-3</v>
      </c>
      <c r="Y51" s="124">
        <f t="shared" si="38"/>
        <v>5.3278688524590169E-3</v>
      </c>
      <c r="Z51" s="124">
        <f t="shared" si="38"/>
        <v>3.5245901639344266E-3</v>
      </c>
      <c r="AA51" s="124">
        <f t="shared" si="38"/>
        <v>5.4918032786885253E-3</v>
      </c>
      <c r="AB51" s="124">
        <f t="shared" si="38"/>
        <v>6.8852459016393447E-3</v>
      </c>
      <c r="AC51" s="124">
        <f t="shared" si="38"/>
        <v>8.6885245901639346E-3</v>
      </c>
      <c r="AD51" s="124">
        <f t="shared" si="38"/>
        <v>9.3442622950819666E-3</v>
      </c>
      <c r="AE51" s="126">
        <f t="shared" si="38"/>
        <v>9.098360655737707E-3</v>
      </c>
      <c r="AF51" s="124">
        <f>T51</f>
        <v>1.3360655737704917E-2</v>
      </c>
      <c r="AG51" s="124">
        <f t="shared" ref="AG51:AP51" si="39">U51</f>
        <v>1.1885245901639344E-2</v>
      </c>
      <c r="AH51" s="124">
        <f t="shared" si="39"/>
        <v>1.3934426229508197E-2</v>
      </c>
      <c r="AI51" s="124">
        <f t="shared" si="39"/>
        <v>6.0655737704918035E-3</v>
      </c>
      <c r="AJ51" s="124">
        <f t="shared" si="39"/>
        <v>4.8360655737704917E-3</v>
      </c>
      <c r="AK51" s="124">
        <f t="shared" si="39"/>
        <v>5.3278688524590169E-3</v>
      </c>
      <c r="AL51" s="124">
        <f t="shared" si="39"/>
        <v>3.5245901639344266E-3</v>
      </c>
      <c r="AM51" s="124">
        <f t="shared" si="39"/>
        <v>5.4918032786885253E-3</v>
      </c>
      <c r="AN51" s="124">
        <f t="shared" si="39"/>
        <v>6.8852459016393447E-3</v>
      </c>
      <c r="AO51" s="124">
        <f t="shared" si="39"/>
        <v>8.6885245901639346E-3</v>
      </c>
      <c r="AP51" s="124">
        <f t="shared" si="39"/>
        <v>9.3442622950819666E-3</v>
      </c>
      <c r="AQ51" s="126">
        <f>AE51</f>
        <v>9.098360655737707E-3</v>
      </c>
    </row>
    <row r="52" spans="2:44" x14ac:dyDescent="0.3">
      <c r="B52" s="125" t="s">
        <v>45</v>
      </c>
      <c r="C52" s="361"/>
      <c r="D52" s="248">
        <f>1/$C$11*D11*$L$17*D24</f>
        <v>0.50659153005464475</v>
      </c>
      <c r="E52" s="124">
        <f>1/$C$11*E11*$L$17*E24</f>
        <v>0.22377049180327868</v>
      </c>
      <c r="F52" s="124">
        <f>1/$C$11*F11*$L$17*F24</f>
        <v>0.13510928961748633</v>
      </c>
      <c r="G52" s="251">
        <f>1/$C$11*G11*$L$17*G24</f>
        <v>0.38333333333333336</v>
      </c>
      <c r="H52" s="248">
        <f t="shared" ref="H52:S52" si="40">1/$C$11*H11*$M$17*H24</f>
        <v>0.24774590163934426</v>
      </c>
      <c r="I52" s="124">
        <f t="shared" si="40"/>
        <v>0.17352459016393443</v>
      </c>
      <c r="J52" s="124">
        <f t="shared" si="40"/>
        <v>0.18676229508196721</v>
      </c>
      <c r="K52" s="124">
        <f t="shared" si="40"/>
        <v>0.1069672131147541</v>
      </c>
      <c r="L52" s="124">
        <f t="shared" si="40"/>
        <v>8.8934426229508187E-2</v>
      </c>
      <c r="M52" s="124">
        <f t="shared" si="40"/>
        <v>7.3770491803278687E-2</v>
      </c>
      <c r="N52" s="124">
        <f t="shared" si="40"/>
        <v>3.3032786885245906E-2</v>
      </c>
      <c r="O52" s="124">
        <f t="shared" si="40"/>
        <v>3.4303278688524591E-2</v>
      </c>
      <c r="P52" s="124">
        <f t="shared" si="40"/>
        <v>9.4672131147540986E-2</v>
      </c>
      <c r="Q52" s="124">
        <f t="shared" si="40"/>
        <v>0.13721311475409836</v>
      </c>
      <c r="R52" s="124">
        <f t="shared" si="40"/>
        <v>0.14754098360655737</v>
      </c>
      <c r="S52" s="251">
        <f t="shared" si="40"/>
        <v>0.17405737704918034</v>
      </c>
      <c r="T52" s="248">
        <f t="shared" ref="T52:AE52" si="41">1/$C$11*$N$17*T24</f>
        <v>1.5983606557377048E-2</v>
      </c>
      <c r="U52" s="124">
        <f t="shared" si="41"/>
        <v>1.1967213114754099E-2</v>
      </c>
      <c r="V52" s="124">
        <f t="shared" si="41"/>
        <v>1.2049180327868853E-2</v>
      </c>
      <c r="W52" s="124">
        <f t="shared" si="41"/>
        <v>7.1311475409836069E-3</v>
      </c>
      <c r="X52" s="124">
        <f t="shared" si="41"/>
        <v>5.7377049180327867E-3</v>
      </c>
      <c r="Y52" s="124">
        <f t="shared" si="41"/>
        <v>4.9180327868852463E-3</v>
      </c>
      <c r="Z52" s="124">
        <f t="shared" si="41"/>
        <v>2.1311475409836068E-3</v>
      </c>
      <c r="AA52" s="124">
        <f t="shared" si="41"/>
        <v>2.213114754098361E-3</v>
      </c>
      <c r="AB52" s="124">
        <f t="shared" si="41"/>
        <v>6.3114754098360657E-3</v>
      </c>
      <c r="AC52" s="124">
        <f t="shared" si="41"/>
        <v>8.8524590163934439E-3</v>
      </c>
      <c r="AD52" s="124">
        <f t="shared" si="41"/>
        <v>9.8360655737704927E-3</v>
      </c>
      <c r="AE52" s="126">
        <f t="shared" si="41"/>
        <v>1.1229508196721314E-2</v>
      </c>
      <c r="AF52" s="124">
        <f>T52</f>
        <v>1.5983606557377048E-2</v>
      </c>
      <c r="AG52" s="124">
        <f t="shared" ref="AG52:AQ52" si="42">U52</f>
        <v>1.1967213114754099E-2</v>
      </c>
      <c r="AH52" s="124">
        <f t="shared" si="42"/>
        <v>1.2049180327868853E-2</v>
      </c>
      <c r="AI52" s="124">
        <f t="shared" si="42"/>
        <v>7.1311475409836069E-3</v>
      </c>
      <c r="AJ52" s="124">
        <f t="shared" si="42"/>
        <v>5.7377049180327867E-3</v>
      </c>
      <c r="AK52" s="124">
        <f t="shared" si="42"/>
        <v>4.9180327868852463E-3</v>
      </c>
      <c r="AL52" s="124">
        <f t="shared" si="42"/>
        <v>2.1311475409836068E-3</v>
      </c>
      <c r="AM52" s="124">
        <f t="shared" si="42"/>
        <v>2.213114754098361E-3</v>
      </c>
      <c r="AN52" s="124">
        <f t="shared" si="42"/>
        <v>6.3114754098360657E-3</v>
      </c>
      <c r="AO52" s="124">
        <f t="shared" si="42"/>
        <v>8.8524590163934439E-3</v>
      </c>
      <c r="AP52" s="124">
        <f t="shared" si="42"/>
        <v>9.8360655737704927E-3</v>
      </c>
      <c r="AQ52" s="126">
        <f t="shared" si="42"/>
        <v>1.1229508196721314E-2</v>
      </c>
    </row>
    <row r="53" spans="2:44" x14ac:dyDescent="0.3">
      <c r="B53" s="127" t="s">
        <v>126</v>
      </c>
      <c r="C53" s="257">
        <f>ROUND('Kainos_ref. kainos 2020'!F96,2)</f>
        <v>142.77000000000001</v>
      </c>
      <c r="D53" s="249">
        <f t="shared" ref="D53:AQ53" si="43">$C$53*D49</f>
        <v>39.04720491803279</v>
      </c>
      <c r="E53" s="104">
        <f t="shared" si="43"/>
        <v>39.04720491803279</v>
      </c>
      <c r="F53" s="104">
        <f t="shared" si="43"/>
        <v>39.476295081967223</v>
      </c>
      <c r="G53" s="252">
        <f t="shared" si="43"/>
        <v>39.476295081967223</v>
      </c>
      <c r="H53" s="249">
        <f t="shared" si="43"/>
        <v>15.115676229508196</v>
      </c>
      <c r="I53" s="104">
        <f t="shared" si="43"/>
        <v>14.140471311475411</v>
      </c>
      <c r="J53" s="104">
        <f t="shared" si="43"/>
        <v>15.115676229508196</v>
      </c>
      <c r="K53" s="104">
        <f t="shared" si="43"/>
        <v>14.628073770491802</v>
      </c>
      <c r="L53" s="104">
        <f t="shared" si="43"/>
        <v>15.115676229508196</v>
      </c>
      <c r="M53" s="104">
        <f t="shared" si="43"/>
        <v>14.628073770491802</v>
      </c>
      <c r="N53" s="104">
        <f t="shared" si="43"/>
        <v>15.115676229508196</v>
      </c>
      <c r="O53" s="104">
        <f t="shared" si="43"/>
        <v>15.115676229508196</v>
      </c>
      <c r="P53" s="104">
        <f t="shared" si="43"/>
        <v>14.628073770491802</v>
      </c>
      <c r="Q53" s="104">
        <f t="shared" si="43"/>
        <v>15.115676229508196</v>
      </c>
      <c r="R53" s="104">
        <f t="shared" si="43"/>
        <v>14.628073770491802</v>
      </c>
      <c r="S53" s="252">
        <f t="shared" si="43"/>
        <v>15.115676229508196</v>
      </c>
      <c r="T53" s="249">
        <f t="shared" si="43"/>
        <v>0.58512295081967225</v>
      </c>
      <c r="U53" s="104">
        <f t="shared" si="43"/>
        <v>0.58512295081967225</v>
      </c>
      <c r="V53" s="104">
        <f t="shared" si="43"/>
        <v>0.58512295081967225</v>
      </c>
      <c r="W53" s="104">
        <f t="shared" si="43"/>
        <v>0.58512295081967225</v>
      </c>
      <c r="X53" s="104">
        <f t="shared" si="43"/>
        <v>0.58512295081967225</v>
      </c>
      <c r="Y53" s="104">
        <f t="shared" si="43"/>
        <v>0.58512295081967225</v>
      </c>
      <c r="Z53" s="104">
        <f t="shared" si="43"/>
        <v>0.58512295081967225</v>
      </c>
      <c r="AA53" s="104">
        <f t="shared" si="43"/>
        <v>0.58512295081967225</v>
      </c>
      <c r="AB53" s="104">
        <f t="shared" si="43"/>
        <v>0.58512295081967225</v>
      </c>
      <c r="AC53" s="104">
        <f t="shared" si="43"/>
        <v>0.58512295081967225</v>
      </c>
      <c r="AD53" s="104">
        <f t="shared" si="43"/>
        <v>0.58512295081967225</v>
      </c>
      <c r="AE53" s="128">
        <f t="shared" si="43"/>
        <v>0.58512295081967225</v>
      </c>
      <c r="AF53" s="104">
        <f t="shared" si="43"/>
        <v>0.58512295081967225</v>
      </c>
      <c r="AG53" s="104">
        <f t="shared" si="43"/>
        <v>0.58512295081967225</v>
      </c>
      <c r="AH53" s="104">
        <f t="shared" si="43"/>
        <v>0.58512295081967225</v>
      </c>
      <c r="AI53" s="104">
        <f t="shared" si="43"/>
        <v>0.58512295081967225</v>
      </c>
      <c r="AJ53" s="104">
        <f t="shared" si="43"/>
        <v>0.58512295081967225</v>
      </c>
      <c r="AK53" s="104">
        <f t="shared" si="43"/>
        <v>0.58512295081967225</v>
      </c>
      <c r="AL53" s="104">
        <f t="shared" si="43"/>
        <v>0.58512295081967225</v>
      </c>
      <c r="AM53" s="104">
        <f t="shared" si="43"/>
        <v>0.58512295081967225</v>
      </c>
      <c r="AN53" s="104">
        <f t="shared" si="43"/>
        <v>0.58512295081967225</v>
      </c>
      <c r="AO53" s="104">
        <f t="shared" si="43"/>
        <v>0.58512295081967225</v>
      </c>
      <c r="AP53" s="104">
        <f t="shared" si="43"/>
        <v>0.58512295081967225</v>
      </c>
      <c r="AQ53" s="128">
        <f t="shared" si="43"/>
        <v>0.58512295081967225</v>
      </c>
    </row>
    <row r="54" spans="2:44" x14ac:dyDescent="0.3">
      <c r="B54" s="127" t="s">
        <v>138</v>
      </c>
      <c r="C54" s="257">
        <f>ROUND('Kainos_ref. kainos 2020'!F97,2)</f>
        <v>35.96</v>
      </c>
      <c r="D54" s="249">
        <f t="shared" ref="D54:AQ54" si="44">$C$54*D49</f>
        <v>9.8349617486338801</v>
      </c>
      <c r="E54" s="104">
        <f t="shared" si="44"/>
        <v>9.8349617486338801</v>
      </c>
      <c r="F54" s="104">
        <f>$C$54*F49</f>
        <v>9.9430382513661222</v>
      </c>
      <c r="G54" s="252">
        <f t="shared" si="44"/>
        <v>9.9430382513661222</v>
      </c>
      <c r="H54" s="249">
        <f t="shared" si="44"/>
        <v>3.8072404371584696</v>
      </c>
      <c r="I54" s="104">
        <f t="shared" si="44"/>
        <v>3.5616120218579237</v>
      </c>
      <c r="J54" s="104">
        <f t="shared" si="44"/>
        <v>3.8072404371584696</v>
      </c>
      <c r="K54" s="104">
        <f t="shared" si="44"/>
        <v>3.6844262295081962</v>
      </c>
      <c r="L54" s="104">
        <f t="shared" si="44"/>
        <v>3.8072404371584696</v>
      </c>
      <c r="M54" s="104">
        <f t="shared" si="44"/>
        <v>3.6844262295081962</v>
      </c>
      <c r="N54" s="104">
        <f t="shared" si="44"/>
        <v>3.8072404371584696</v>
      </c>
      <c r="O54" s="104">
        <f t="shared" si="44"/>
        <v>3.8072404371584696</v>
      </c>
      <c r="P54" s="104">
        <f t="shared" si="44"/>
        <v>3.6844262295081962</v>
      </c>
      <c r="Q54" s="104">
        <f t="shared" si="44"/>
        <v>3.8072404371584696</v>
      </c>
      <c r="R54" s="104">
        <f t="shared" si="44"/>
        <v>3.6844262295081962</v>
      </c>
      <c r="S54" s="252">
        <f t="shared" si="44"/>
        <v>3.8072404371584696</v>
      </c>
      <c r="T54" s="249">
        <f t="shared" si="44"/>
        <v>0.14737704918032787</v>
      </c>
      <c r="U54" s="104">
        <f t="shared" si="44"/>
        <v>0.14737704918032787</v>
      </c>
      <c r="V54" s="104">
        <f t="shared" si="44"/>
        <v>0.14737704918032787</v>
      </c>
      <c r="W54" s="104">
        <f t="shared" si="44"/>
        <v>0.14737704918032787</v>
      </c>
      <c r="X54" s="104">
        <f t="shared" si="44"/>
        <v>0.14737704918032787</v>
      </c>
      <c r="Y54" s="104">
        <f t="shared" si="44"/>
        <v>0.14737704918032787</v>
      </c>
      <c r="Z54" s="104">
        <f t="shared" si="44"/>
        <v>0.14737704918032787</v>
      </c>
      <c r="AA54" s="104">
        <f t="shared" si="44"/>
        <v>0.14737704918032787</v>
      </c>
      <c r="AB54" s="104">
        <f t="shared" si="44"/>
        <v>0.14737704918032787</v>
      </c>
      <c r="AC54" s="104">
        <f t="shared" si="44"/>
        <v>0.14737704918032787</v>
      </c>
      <c r="AD54" s="104">
        <f t="shared" si="44"/>
        <v>0.14737704918032787</v>
      </c>
      <c r="AE54" s="128">
        <f t="shared" si="44"/>
        <v>0.14737704918032787</v>
      </c>
      <c r="AF54" s="104">
        <f t="shared" si="44"/>
        <v>0.14737704918032787</v>
      </c>
      <c r="AG54" s="104">
        <f t="shared" si="44"/>
        <v>0.14737704918032787</v>
      </c>
      <c r="AH54" s="104">
        <f t="shared" si="44"/>
        <v>0.14737704918032787</v>
      </c>
      <c r="AI54" s="104">
        <f t="shared" si="44"/>
        <v>0.14737704918032787</v>
      </c>
      <c r="AJ54" s="104">
        <f t="shared" si="44"/>
        <v>0.14737704918032787</v>
      </c>
      <c r="AK54" s="104">
        <f t="shared" si="44"/>
        <v>0.14737704918032787</v>
      </c>
      <c r="AL54" s="104">
        <f t="shared" si="44"/>
        <v>0.14737704918032787</v>
      </c>
      <c r="AM54" s="104">
        <f t="shared" si="44"/>
        <v>0.14737704918032787</v>
      </c>
      <c r="AN54" s="104">
        <f t="shared" si="44"/>
        <v>0.14737704918032787</v>
      </c>
      <c r="AO54" s="104">
        <f t="shared" si="44"/>
        <v>0.14737704918032787</v>
      </c>
      <c r="AP54" s="104">
        <f t="shared" si="44"/>
        <v>0.14737704918032787</v>
      </c>
      <c r="AQ54" s="128">
        <f t="shared" si="44"/>
        <v>0.14737704918032787</v>
      </c>
    </row>
    <row r="55" spans="2:44" x14ac:dyDescent="0.3">
      <c r="B55" s="127" t="s">
        <v>51</v>
      </c>
      <c r="C55" s="257">
        <f>ROUND('Kainos_ref. kainos 2020'!F98,2)</f>
        <v>142.77000000000001</v>
      </c>
      <c r="D55" s="249">
        <f t="shared" ref="D55:AQ55" si="45">$C$55*D49</f>
        <v>39.04720491803279</v>
      </c>
      <c r="E55" s="104">
        <f t="shared" si="45"/>
        <v>39.04720491803279</v>
      </c>
      <c r="F55" s="104">
        <f t="shared" si="45"/>
        <v>39.476295081967223</v>
      </c>
      <c r="G55" s="252">
        <f t="shared" si="45"/>
        <v>39.476295081967223</v>
      </c>
      <c r="H55" s="249">
        <f t="shared" si="45"/>
        <v>15.115676229508196</v>
      </c>
      <c r="I55" s="104">
        <f t="shared" si="45"/>
        <v>14.140471311475411</v>
      </c>
      <c r="J55" s="104">
        <f t="shared" si="45"/>
        <v>15.115676229508196</v>
      </c>
      <c r="K55" s="104">
        <f t="shared" si="45"/>
        <v>14.628073770491802</v>
      </c>
      <c r="L55" s="104">
        <f t="shared" si="45"/>
        <v>15.115676229508196</v>
      </c>
      <c r="M55" s="104">
        <f t="shared" si="45"/>
        <v>14.628073770491802</v>
      </c>
      <c r="N55" s="104">
        <f t="shared" si="45"/>
        <v>15.115676229508196</v>
      </c>
      <c r="O55" s="104">
        <f t="shared" si="45"/>
        <v>15.115676229508196</v>
      </c>
      <c r="P55" s="104">
        <f t="shared" si="45"/>
        <v>14.628073770491802</v>
      </c>
      <c r="Q55" s="104">
        <f t="shared" si="45"/>
        <v>15.115676229508196</v>
      </c>
      <c r="R55" s="104">
        <f t="shared" si="45"/>
        <v>14.628073770491802</v>
      </c>
      <c r="S55" s="252">
        <f t="shared" si="45"/>
        <v>15.115676229508196</v>
      </c>
      <c r="T55" s="249">
        <f t="shared" si="45"/>
        <v>0.58512295081967225</v>
      </c>
      <c r="U55" s="104">
        <f t="shared" si="45"/>
        <v>0.58512295081967225</v>
      </c>
      <c r="V55" s="104">
        <f t="shared" si="45"/>
        <v>0.58512295081967225</v>
      </c>
      <c r="W55" s="104">
        <f t="shared" si="45"/>
        <v>0.58512295081967225</v>
      </c>
      <c r="X55" s="104">
        <f t="shared" si="45"/>
        <v>0.58512295081967225</v>
      </c>
      <c r="Y55" s="104">
        <f t="shared" si="45"/>
        <v>0.58512295081967225</v>
      </c>
      <c r="Z55" s="104">
        <f t="shared" si="45"/>
        <v>0.58512295081967225</v>
      </c>
      <c r="AA55" s="104">
        <f t="shared" si="45"/>
        <v>0.58512295081967225</v>
      </c>
      <c r="AB55" s="104">
        <f t="shared" si="45"/>
        <v>0.58512295081967225</v>
      </c>
      <c r="AC55" s="104">
        <f t="shared" si="45"/>
        <v>0.58512295081967225</v>
      </c>
      <c r="AD55" s="104">
        <f t="shared" si="45"/>
        <v>0.58512295081967225</v>
      </c>
      <c r="AE55" s="128">
        <f t="shared" si="45"/>
        <v>0.58512295081967225</v>
      </c>
      <c r="AF55" s="104">
        <f t="shared" si="45"/>
        <v>0.58512295081967225</v>
      </c>
      <c r="AG55" s="104">
        <f t="shared" si="45"/>
        <v>0.58512295081967225</v>
      </c>
      <c r="AH55" s="104">
        <f t="shared" si="45"/>
        <v>0.58512295081967225</v>
      </c>
      <c r="AI55" s="104">
        <f t="shared" si="45"/>
        <v>0.58512295081967225</v>
      </c>
      <c r="AJ55" s="104">
        <f t="shared" si="45"/>
        <v>0.58512295081967225</v>
      </c>
      <c r="AK55" s="104">
        <f t="shared" si="45"/>
        <v>0.58512295081967225</v>
      </c>
      <c r="AL55" s="104">
        <f t="shared" si="45"/>
        <v>0.58512295081967225</v>
      </c>
      <c r="AM55" s="104">
        <f t="shared" si="45"/>
        <v>0.58512295081967225</v>
      </c>
      <c r="AN55" s="104">
        <f t="shared" si="45"/>
        <v>0.58512295081967225</v>
      </c>
      <c r="AO55" s="104">
        <f t="shared" si="45"/>
        <v>0.58512295081967225</v>
      </c>
      <c r="AP55" s="104">
        <f t="shared" si="45"/>
        <v>0.58512295081967225</v>
      </c>
      <c r="AQ55" s="128">
        <f t="shared" si="45"/>
        <v>0.58512295081967225</v>
      </c>
    </row>
    <row r="56" spans="2:44" x14ac:dyDescent="0.3">
      <c r="B56" s="127" t="s">
        <v>55</v>
      </c>
      <c r="C56" s="257">
        <f>ROUND('Kainos_ref. kainos 2020'!F99,2)</f>
        <v>35.69</v>
      </c>
      <c r="D56" s="249">
        <f t="shared" ref="D56:AQ56" si="46">$C$56*D49</f>
        <v>9.7611174863387973</v>
      </c>
      <c r="E56" s="104">
        <f t="shared" si="46"/>
        <v>9.7611174863387973</v>
      </c>
      <c r="F56" s="104">
        <f t="shared" si="46"/>
        <v>9.8683825136612029</v>
      </c>
      <c r="G56" s="252">
        <f t="shared" si="46"/>
        <v>9.8683825136612029</v>
      </c>
      <c r="H56" s="249">
        <f t="shared" si="46"/>
        <v>3.778654371584699</v>
      </c>
      <c r="I56" s="104">
        <f t="shared" si="46"/>
        <v>3.5348702185792349</v>
      </c>
      <c r="J56" s="104">
        <f t="shared" si="46"/>
        <v>3.778654371584699</v>
      </c>
      <c r="K56" s="104">
        <f t="shared" si="46"/>
        <v>3.6567622950819665</v>
      </c>
      <c r="L56" s="104">
        <f t="shared" si="46"/>
        <v>3.778654371584699</v>
      </c>
      <c r="M56" s="104">
        <f t="shared" si="46"/>
        <v>3.6567622950819665</v>
      </c>
      <c r="N56" s="104">
        <f t="shared" si="46"/>
        <v>3.778654371584699</v>
      </c>
      <c r="O56" s="104">
        <f t="shared" si="46"/>
        <v>3.778654371584699</v>
      </c>
      <c r="P56" s="104">
        <f t="shared" si="46"/>
        <v>3.6567622950819665</v>
      </c>
      <c r="Q56" s="104">
        <f t="shared" si="46"/>
        <v>3.778654371584699</v>
      </c>
      <c r="R56" s="104">
        <f t="shared" si="46"/>
        <v>3.6567622950819665</v>
      </c>
      <c r="S56" s="252">
        <f t="shared" si="46"/>
        <v>3.778654371584699</v>
      </c>
      <c r="T56" s="249">
        <f t="shared" si="46"/>
        <v>0.1462704918032787</v>
      </c>
      <c r="U56" s="104">
        <f t="shared" si="46"/>
        <v>0.1462704918032787</v>
      </c>
      <c r="V56" s="104">
        <f t="shared" si="46"/>
        <v>0.1462704918032787</v>
      </c>
      <c r="W56" s="104">
        <f t="shared" si="46"/>
        <v>0.1462704918032787</v>
      </c>
      <c r="X56" s="104">
        <f t="shared" si="46"/>
        <v>0.1462704918032787</v>
      </c>
      <c r="Y56" s="104">
        <f t="shared" si="46"/>
        <v>0.1462704918032787</v>
      </c>
      <c r="Z56" s="104">
        <f t="shared" si="46"/>
        <v>0.1462704918032787</v>
      </c>
      <c r="AA56" s="104">
        <f t="shared" si="46"/>
        <v>0.1462704918032787</v>
      </c>
      <c r="AB56" s="104">
        <f t="shared" si="46"/>
        <v>0.1462704918032787</v>
      </c>
      <c r="AC56" s="104">
        <f t="shared" si="46"/>
        <v>0.1462704918032787</v>
      </c>
      <c r="AD56" s="104">
        <f t="shared" si="46"/>
        <v>0.1462704918032787</v>
      </c>
      <c r="AE56" s="128">
        <f t="shared" si="46"/>
        <v>0.1462704918032787</v>
      </c>
      <c r="AF56" s="104">
        <f t="shared" si="46"/>
        <v>0.1462704918032787</v>
      </c>
      <c r="AG56" s="104">
        <f t="shared" si="46"/>
        <v>0.1462704918032787</v>
      </c>
      <c r="AH56" s="104">
        <f t="shared" si="46"/>
        <v>0.1462704918032787</v>
      </c>
      <c r="AI56" s="104">
        <f t="shared" si="46"/>
        <v>0.1462704918032787</v>
      </c>
      <c r="AJ56" s="104">
        <f t="shared" si="46"/>
        <v>0.1462704918032787</v>
      </c>
      <c r="AK56" s="104">
        <f t="shared" si="46"/>
        <v>0.1462704918032787</v>
      </c>
      <c r="AL56" s="104">
        <f t="shared" si="46"/>
        <v>0.1462704918032787</v>
      </c>
      <c r="AM56" s="104">
        <f t="shared" si="46"/>
        <v>0.1462704918032787</v>
      </c>
      <c r="AN56" s="104">
        <f t="shared" si="46"/>
        <v>0.1462704918032787</v>
      </c>
      <c r="AO56" s="104">
        <f t="shared" si="46"/>
        <v>0.1462704918032787</v>
      </c>
      <c r="AP56" s="104">
        <f t="shared" si="46"/>
        <v>0.1462704918032787</v>
      </c>
      <c r="AQ56" s="128">
        <f t="shared" si="46"/>
        <v>0.1462704918032787</v>
      </c>
    </row>
    <row r="57" spans="2:44" x14ac:dyDescent="0.3">
      <c r="B57" s="127" t="s">
        <v>52</v>
      </c>
      <c r="C57" s="257">
        <f>ROUND('Kainos_ref. kainos 2020'!F100,2)</f>
        <v>88.73</v>
      </c>
      <c r="D57" s="249">
        <f t="shared" ref="D57:AQ57" si="47">$C$57*D50</f>
        <v>24.267412568306014</v>
      </c>
      <c r="E57" s="104">
        <f t="shared" si="47"/>
        <v>24.267412568306014</v>
      </c>
      <c r="F57" s="104">
        <f t="shared" si="47"/>
        <v>24.534087431693994</v>
      </c>
      <c r="G57" s="252">
        <f t="shared" si="47"/>
        <v>24.534087431693994</v>
      </c>
      <c r="H57" s="249">
        <f t="shared" si="47"/>
        <v>9.3942281420765017</v>
      </c>
      <c r="I57" s="104">
        <f t="shared" si="47"/>
        <v>8.7881489071038246</v>
      </c>
      <c r="J57" s="104">
        <f t="shared" si="47"/>
        <v>9.3942281420765017</v>
      </c>
      <c r="K57" s="104">
        <f t="shared" si="47"/>
        <v>9.091188524590164</v>
      </c>
      <c r="L57" s="104">
        <f t="shared" si="47"/>
        <v>9.3942281420765017</v>
      </c>
      <c r="M57" s="104">
        <f t="shared" si="47"/>
        <v>9.091188524590164</v>
      </c>
      <c r="N57" s="104">
        <f t="shared" si="47"/>
        <v>9.3942281420765017</v>
      </c>
      <c r="O57" s="104">
        <f t="shared" si="47"/>
        <v>9.3942281420765017</v>
      </c>
      <c r="P57" s="104">
        <f t="shared" si="47"/>
        <v>9.091188524590164</v>
      </c>
      <c r="Q57" s="104">
        <f t="shared" si="47"/>
        <v>9.3942281420765017</v>
      </c>
      <c r="R57" s="104">
        <f t="shared" si="47"/>
        <v>9.091188524590164</v>
      </c>
      <c r="S57" s="252">
        <f t="shared" si="47"/>
        <v>9.3942281420765017</v>
      </c>
      <c r="T57" s="249">
        <f t="shared" si="47"/>
        <v>0.36364754098360658</v>
      </c>
      <c r="U57" s="104">
        <f t="shared" si="47"/>
        <v>0.36364754098360658</v>
      </c>
      <c r="V57" s="104">
        <f t="shared" si="47"/>
        <v>0.36364754098360658</v>
      </c>
      <c r="W57" s="104">
        <f t="shared" si="47"/>
        <v>0.36364754098360658</v>
      </c>
      <c r="X57" s="104">
        <f t="shared" si="47"/>
        <v>0.36364754098360658</v>
      </c>
      <c r="Y57" s="104">
        <f t="shared" si="47"/>
        <v>0.36364754098360658</v>
      </c>
      <c r="Z57" s="104">
        <f t="shared" si="47"/>
        <v>0.36364754098360658</v>
      </c>
      <c r="AA57" s="104">
        <f t="shared" si="47"/>
        <v>0.36364754098360658</v>
      </c>
      <c r="AB57" s="104">
        <f t="shared" si="47"/>
        <v>0.36364754098360658</v>
      </c>
      <c r="AC57" s="104">
        <f t="shared" si="47"/>
        <v>0.36364754098360658</v>
      </c>
      <c r="AD57" s="104">
        <f t="shared" si="47"/>
        <v>0.36364754098360658</v>
      </c>
      <c r="AE57" s="128">
        <f t="shared" si="47"/>
        <v>0.36364754098360658</v>
      </c>
      <c r="AF57" s="104">
        <f t="shared" si="47"/>
        <v>0.36364754098360658</v>
      </c>
      <c r="AG57" s="104">
        <f t="shared" si="47"/>
        <v>0.36364754098360658</v>
      </c>
      <c r="AH57" s="104">
        <f t="shared" si="47"/>
        <v>0.36364754098360658</v>
      </c>
      <c r="AI57" s="104">
        <f t="shared" si="47"/>
        <v>0.36364754098360658</v>
      </c>
      <c r="AJ57" s="104">
        <f t="shared" si="47"/>
        <v>0.36364754098360658</v>
      </c>
      <c r="AK57" s="104">
        <f t="shared" si="47"/>
        <v>0.36364754098360658</v>
      </c>
      <c r="AL57" s="104">
        <f t="shared" si="47"/>
        <v>0.36364754098360658</v>
      </c>
      <c r="AM57" s="104">
        <f t="shared" si="47"/>
        <v>0.36364754098360658</v>
      </c>
      <c r="AN57" s="104">
        <f t="shared" si="47"/>
        <v>0.36364754098360658</v>
      </c>
      <c r="AO57" s="104">
        <f t="shared" si="47"/>
        <v>0.36364754098360658</v>
      </c>
      <c r="AP57" s="104">
        <f t="shared" si="47"/>
        <v>0.36364754098360658</v>
      </c>
      <c r="AQ57" s="128">
        <f t="shared" si="47"/>
        <v>0.36364754098360658</v>
      </c>
    </row>
    <row r="58" spans="2:44" x14ac:dyDescent="0.3">
      <c r="B58" s="127" t="s">
        <v>53</v>
      </c>
      <c r="C58" s="257">
        <f>ROUND('Kainos_ref. kainos 2020'!F101,2)</f>
        <v>39.4</v>
      </c>
      <c r="D58" s="249">
        <f t="shared" ref="D58:AQ58" si="48">$C$58*D51</f>
        <v>19.469897540983606</v>
      </c>
      <c r="E58" s="104">
        <f t="shared" si="48"/>
        <v>8.0818442622950819</v>
      </c>
      <c r="F58" s="104">
        <f t="shared" si="48"/>
        <v>8.0468579234972673</v>
      </c>
      <c r="G58" s="252">
        <f t="shared" si="48"/>
        <v>13.617759562841531</v>
      </c>
      <c r="H58" s="249">
        <f t="shared" si="48"/>
        <v>8.1593524590163931</v>
      </c>
      <c r="I58" s="104">
        <f t="shared" si="48"/>
        <v>6.7900409836065565</v>
      </c>
      <c r="J58" s="104">
        <f t="shared" si="48"/>
        <v>8.5097540983606557</v>
      </c>
      <c r="K58" s="104">
        <f t="shared" si="48"/>
        <v>3.5847540983606554</v>
      </c>
      <c r="L58" s="104">
        <f t="shared" si="48"/>
        <v>2.953385245901639</v>
      </c>
      <c r="M58" s="104">
        <f t="shared" si="48"/>
        <v>3.1487704918032788</v>
      </c>
      <c r="N58" s="104">
        <f t="shared" si="48"/>
        <v>2.152467213114754</v>
      </c>
      <c r="O58" s="104">
        <f t="shared" si="48"/>
        <v>3.3538442622950821</v>
      </c>
      <c r="P58" s="104">
        <f t="shared" si="48"/>
        <v>4.0691803278688523</v>
      </c>
      <c r="Q58" s="104">
        <f t="shared" si="48"/>
        <v>5.3060819672131148</v>
      </c>
      <c r="R58" s="104">
        <f t="shared" si="48"/>
        <v>5.5224590163934417</v>
      </c>
      <c r="S58" s="252">
        <f t="shared" si="48"/>
        <v>5.5563688524590171</v>
      </c>
      <c r="T58" s="249">
        <f t="shared" si="48"/>
        <v>0.52640983606557368</v>
      </c>
      <c r="U58" s="104">
        <f t="shared" si="48"/>
        <v>0.46827868852459015</v>
      </c>
      <c r="V58" s="104">
        <f t="shared" si="48"/>
        <v>0.54901639344262299</v>
      </c>
      <c r="W58" s="104">
        <f t="shared" si="48"/>
        <v>0.23898360655737705</v>
      </c>
      <c r="X58" s="104">
        <f t="shared" si="48"/>
        <v>0.19054098360655736</v>
      </c>
      <c r="Y58" s="104">
        <f t="shared" si="48"/>
        <v>0.20991803278688526</v>
      </c>
      <c r="Z58" s="104">
        <f t="shared" si="48"/>
        <v>0.1388688524590164</v>
      </c>
      <c r="AA58" s="104">
        <f t="shared" si="48"/>
        <v>0.21637704918032788</v>
      </c>
      <c r="AB58" s="104">
        <f t="shared" si="48"/>
        <v>0.27127868852459019</v>
      </c>
      <c r="AC58" s="104">
        <f t="shared" si="48"/>
        <v>0.34232786885245903</v>
      </c>
      <c r="AD58" s="104">
        <f t="shared" si="48"/>
        <v>0.36816393442622947</v>
      </c>
      <c r="AE58" s="128">
        <f t="shared" si="48"/>
        <v>0.35847540983606563</v>
      </c>
      <c r="AF58" s="104">
        <f t="shared" si="48"/>
        <v>0.52640983606557368</v>
      </c>
      <c r="AG58" s="104">
        <f t="shared" si="48"/>
        <v>0.46827868852459015</v>
      </c>
      <c r="AH58" s="104">
        <f t="shared" si="48"/>
        <v>0.54901639344262299</v>
      </c>
      <c r="AI58" s="104">
        <f t="shared" si="48"/>
        <v>0.23898360655737705</v>
      </c>
      <c r="AJ58" s="104">
        <f t="shared" si="48"/>
        <v>0.19054098360655736</v>
      </c>
      <c r="AK58" s="104">
        <f t="shared" si="48"/>
        <v>0.20991803278688526</v>
      </c>
      <c r="AL58" s="104">
        <f t="shared" si="48"/>
        <v>0.1388688524590164</v>
      </c>
      <c r="AM58" s="104">
        <f t="shared" si="48"/>
        <v>0.21637704918032788</v>
      </c>
      <c r="AN58" s="104">
        <f t="shared" si="48"/>
        <v>0.27127868852459019</v>
      </c>
      <c r="AO58" s="104">
        <f t="shared" si="48"/>
        <v>0.34232786885245903</v>
      </c>
      <c r="AP58" s="104">
        <f t="shared" si="48"/>
        <v>0.36816393442622947</v>
      </c>
      <c r="AQ58" s="128">
        <f t="shared" si="48"/>
        <v>0.35847540983606563</v>
      </c>
    </row>
    <row r="59" spans="2:44" ht="15" thickBot="1" x14ac:dyDescent="0.35">
      <c r="B59" s="306" t="s">
        <v>54</v>
      </c>
      <c r="C59" s="258">
        <f>ROUND('Kainos_ref. kainos 2020'!F102,2)</f>
        <v>57.24</v>
      </c>
      <c r="D59" s="253">
        <f>$C$59*D52</f>
        <v>28.997299180327865</v>
      </c>
      <c r="E59" s="129">
        <f t="shared" ref="E59:AE59" si="49">$C$59*E52</f>
        <v>12.808622950819672</v>
      </c>
      <c r="F59" s="129">
        <f t="shared" si="49"/>
        <v>7.7336557377049182</v>
      </c>
      <c r="G59" s="254">
        <f t="shared" si="49"/>
        <v>21.942000000000004</v>
      </c>
      <c r="H59" s="253">
        <f t="shared" si="49"/>
        <v>14.180975409836066</v>
      </c>
      <c r="I59" s="129">
        <f t="shared" si="49"/>
        <v>9.9325475409836077</v>
      </c>
      <c r="J59" s="129">
        <f t="shared" si="49"/>
        <v>10.690273770491803</v>
      </c>
      <c r="K59" s="129">
        <f t="shared" si="49"/>
        <v>6.1228032786885249</v>
      </c>
      <c r="L59" s="129">
        <f t="shared" si="49"/>
        <v>5.0906065573770487</v>
      </c>
      <c r="M59" s="129">
        <f t="shared" si="49"/>
        <v>4.2226229508196722</v>
      </c>
      <c r="N59" s="129">
        <f t="shared" si="49"/>
        <v>1.8907967213114758</v>
      </c>
      <c r="O59" s="129">
        <f t="shared" si="49"/>
        <v>1.9635196721311476</v>
      </c>
      <c r="P59" s="129">
        <f t="shared" si="49"/>
        <v>5.4190327868852464</v>
      </c>
      <c r="Q59" s="129">
        <f t="shared" si="49"/>
        <v>7.8540786885245906</v>
      </c>
      <c r="R59" s="129">
        <f t="shared" si="49"/>
        <v>8.4452459016393444</v>
      </c>
      <c r="S59" s="254">
        <f t="shared" si="49"/>
        <v>9.9630442622950834</v>
      </c>
      <c r="T59" s="253">
        <f t="shared" si="49"/>
        <v>0.91490163934426227</v>
      </c>
      <c r="U59" s="129">
        <f t="shared" si="49"/>
        <v>0.68500327868852473</v>
      </c>
      <c r="V59" s="129">
        <f t="shared" si="49"/>
        <v>0.68969508196721319</v>
      </c>
      <c r="W59" s="129">
        <f t="shared" si="49"/>
        <v>0.40818688524590169</v>
      </c>
      <c r="X59" s="129">
        <f t="shared" si="49"/>
        <v>0.32842622950819672</v>
      </c>
      <c r="Y59" s="129">
        <f t="shared" si="49"/>
        <v>0.2815081967213115</v>
      </c>
      <c r="Z59" s="129">
        <f t="shared" si="49"/>
        <v>0.12198688524590165</v>
      </c>
      <c r="AA59" s="129">
        <f t="shared" si="49"/>
        <v>0.12667868852459019</v>
      </c>
      <c r="AB59" s="129">
        <f t="shared" si="49"/>
        <v>0.36126885245901641</v>
      </c>
      <c r="AC59" s="129">
        <f t="shared" si="49"/>
        <v>0.50671475409836075</v>
      </c>
      <c r="AD59" s="129">
        <f t="shared" si="49"/>
        <v>0.563016393442623</v>
      </c>
      <c r="AE59" s="130">
        <f t="shared" si="49"/>
        <v>0.64277704918032808</v>
      </c>
      <c r="AF59" s="129">
        <f t="shared" ref="AF59:AQ59" si="50">$C$59*AF52</f>
        <v>0.91490163934426227</v>
      </c>
      <c r="AG59" s="129">
        <f t="shared" si="50"/>
        <v>0.68500327868852473</v>
      </c>
      <c r="AH59" s="129">
        <f t="shared" si="50"/>
        <v>0.68969508196721319</v>
      </c>
      <c r="AI59" s="129">
        <f t="shared" si="50"/>
        <v>0.40818688524590169</v>
      </c>
      <c r="AJ59" s="129">
        <f t="shared" si="50"/>
        <v>0.32842622950819672</v>
      </c>
      <c r="AK59" s="129">
        <f t="shared" si="50"/>
        <v>0.2815081967213115</v>
      </c>
      <c r="AL59" s="129">
        <f t="shared" si="50"/>
        <v>0.12198688524590165</v>
      </c>
      <c r="AM59" s="129">
        <f t="shared" si="50"/>
        <v>0.12667868852459019</v>
      </c>
      <c r="AN59" s="129">
        <f t="shared" si="50"/>
        <v>0.36126885245901641</v>
      </c>
      <c r="AO59" s="129">
        <f t="shared" si="50"/>
        <v>0.50671475409836075</v>
      </c>
      <c r="AP59" s="129">
        <f t="shared" si="50"/>
        <v>0.563016393442623</v>
      </c>
      <c r="AQ59" s="130">
        <f t="shared" si="50"/>
        <v>0.64277704918032808</v>
      </c>
    </row>
    <row r="61" spans="2:44" ht="15.6" x14ac:dyDescent="0.3">
      <c r="B61" s="350" t="s">
        <v>39</v>
      </c>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350"/>
      <c r="AC61" s="350"/>
      <c r="AD61" s="350"/>
      <c r="AE61" s="350"/>
      <c r="AF61" s="350"/>
      <c r="AG61" s="350"/>
      <c r="AH61" s="350"/>
      <c r="AI61" s="350"/>
      <c r="AJ61" s="350"/>
      <c r="AK61" s="350"/>
      <c r="AL61" s="350"/>
      <c r="AM61" s="350"/>
      <c r="AN61" s="350"/>
      <c r="AO61" s="350"/>
      <c r="AP61" s="350"/>
      <c r="AQ61" s="350"/>
    </row>
    <row r="62" spans="2:44" ht="19.8" customHeight="1" x14ac:dyDescent="0.3">
      <c r="B62" s="131"/>
      <c r="C62" s="351" t="s">
        <v>46</v>
      </c>
      <c r="D62" s="353" t="s">
        <v>47</v>
      </c>
      <c r="E62" s="354"/>
      <c r="F62" s="354"/>
      <c r="G62" s="355"/>
      <c r="H62" s="353" t="s">
        <v>48</v>
      </c>
      <c r="I62" s="354"/>
      <c r="J62" s="354"/>
      <c r="K62" s="354"/>
      <c r="L62" s="354"/>
      <c r="M62" s="354"/>
      <c r="N62" s="354"/>
      <c r="O62" s="354"/>
      <c r="P62" s="354"/>
      <c r="Q62" s="354"/>
      <c r="R62" s="354"/>
      <c r="S62" s="355"/>
      <c r="T62" s="353" t="s">
        <v>49</v>
      </c>
      <c r="U62" s="354"/>
      <c r="V62" s="354"/>
      <c r="W62" s="354"/>
      <c r="X62" s="354"/>
      <c r="Y62" s="354"/>
      <c r="Z62" s="354"/>
      <c r="AA62" s="354"/>
      <c r="AB62" s="354"/>
      <c r="AC62" s="354"/>
      <c r="AD62" s="354"/>
      <c r="AE62" s="356"/>
      <c r="AF62" s="357" t="s">
        <v>50</v>
      </c>
      <c r="AG62" s="354"/>
      <c r="AH62" s="354"/>
      <c r="AI62" s="354"/>
      <c r="AJ62" s="354"/>
      <c r="AK62" s="354"/>
      <c r="AL62" s="354"/>
      <c r="AM62" s="354"/>
      <c r="AN62" s="354"/>
      <c r="AO62" s="354"/>
      <c r="AP62" s="354"/>
      <c r="AQ62" s="356"/>
    </row>
    <row r="63" spans="2:44" ht="18.600000000000001" customHeight="1" x14ac:dyDescent="0.3">
      <c r="B63" s="125"/>
      <c r="C63" s="352"/>
      <c r="D63" s="304" t="s">
        <v>35</v>
      </c>
      <c r="E63" s="304" t="s">
        <v>36</v>
      </c>
      <c r="F63" s="304" t="s">
        <v>37</v>
      </c>
      <c r="G63" s="302" t="s">
        <v>38</v>
      </c>
      <c r="H63" s="219" t="s">
        <v>16</v>
      </c>
      <c r="I63" s="304" t="s">
        <v>17</v>
      </c>
      <c r="J63" s="304" t="s">
        <v>18</v>
      </c>
      <c r="K63" s="304" t="s">
        <v>19</v>
      </c>
      <c r="L63" s="304" t="s">
        <v>20</v>
      </c>
      <c r="M63" s="304" t="s">
        <v>21</v>
      </c>
      <c r="N63" s="304" t="s">
        <v>22</v>
      </c>
      <c r="O63" s="304" t="s">
        <v>23</v>
      </c>
      <c r="P63" s="304" t="s">
        <v>24</v>
      </c>
      <c r="Q63" s="304" t="s">
        <v>25</v>
      </c>
      <c r="R63" s="304" t="s">
        <v>26</v>
      </c>
      <c r="S63" s="302" t="s">
        <v>27</v>
      </c>
      <c r="T63" s="219" t="s">
        <v>16</v>
      </c>
      <c r="U63" s="304" t="s">
        <v>17</v>
      </c>
      <c r="V63" s="304" t="s">
        <v>18</v>
      </c>
      <c r="W63" s="304" t="s">
        <v>19</v>
      </c>
      <c r="X63" s="304" t="s">
        <v>20</v>
      </c>
      <c r="Y63" s="304" t="s">
        <v>21</v>
      </c>
      <c r="Z63" s="304" t="s">
        <v>22</v>
      </c>
      <c r="AA63" s="304" t="s">
        <v>23</v>
      </c>
      <c r="AB63" s="304" t="s">
        <v>24</v>
      </c>
      <c r="AC63" s="304" t="s">
        <v>25</v>
      </c>
      <c r="AD63" s="304" t="s">
        <v>26</v>
      </c>
      <c r="AE63" s="302" t="s">
        <v>27</v>
      </c>
      <c r="AF63" s="219" t="s">
        <v>16</v>
      </c>
      <c r="AG63" s="304" t="s">
        <v>17</v>
      </c>
      <c r="AH63" s="304" t="s">
        <v>18</v>
      </c>
      <c r="AI63" s="304" t="s">
        <v>19</v>
      </c>
      <c r="AJ63" s="304" t="s">
        <v>20</v>
      </c>
      <c r="AK63" s="304" t="s">
        <v>21</v>
      </c>
      <c r="AL63" s="304" t="s">
        <v>22</v>
      </c>
      <c r="AM63" s="304" t="s">
        <v>23</v>
      </c>
      <c r="AN63" s="304" t="s">
        <v>24</v>
      </c>
      <c r="AO63" s="304" t="s">
        <v>25</v>
      </c>
      <c r="AP63" s="304" t="s">
        <v>26</v>
      </c>
      <c r="AQ63" s="302" t="s">
        <v>27</v>
      </c>
      <c r="AR63" s="305"/>
    </row>
    <row r="64" spans="2:44" x14ac:dyDescent="0.3">
      <c r="B64" s="127" t="s">
        <v>126</v>
      </c>
      <c r="C64" s="216">
        <f t="shared" ref="C64:AQ64" si="51">ROUND(C53,2)/ROUND(C39,2)-1</f>
        <v>2.2850897376898298</v>
      </c>
      <c r="D64" s="255">
        <f t="shared" si="51"/>
        <v>1.9141791044776117</v>
      </c>
      <c r="E64" s="211">
        <f t="shared" si="51"/>
        <v>1.884047267355982</v>
      </c>
      <c r="F64" s="211">
        <f t="shared" si="51"/>
        <v>1.8838568298027756</v>
      </c>
      <c r="G64" s="216">
        <f t="shared" si="51"/>
        <v>1.8838568298027756</v>
      </c>
      <c r="H64" s="255">
        <f t="shared" si="51"/>
        <v>1.7292418772563174</v>
      </c>
      <c r="I64" s="211">
        <f t="shared" si="51"/>
        <v>1.8280000000000003</v>
      </c>
      <c r="J64" s="211">
        <f t="shared" si="51"/>
        <v>1.7292418772563174</v>
      </c>
      <c r="K64" s="211">
        <f t="shared" si="51"/>
        <v>1.7294776119402986</v>
      </c>
      <c r="L64" s="211">
        <f t="shared" si="51"/>
        <v>1.7292418772563174</v>
      </c>
      <c r="M64" s="211">
        <f t="shared" si="51"/>
        <v>1.7294776119402986</v>
      </c>
      <c r="N64" s="211">
        <f t="shared" si="51"/>
        <v>1.7292418772563174</v>
      </c>
      <c r="O64" s="211">
        <f t="shared" si="51"/>
        <v>1.7292418772563174</v>
      </c>
      <c r="P64" s="211">
        <f t="shared" si="51"/>
        <v>1.7294776119402986</v>
      </c>
      <c r="Q64" s="211">
        <f t="shared" si="51"/>
        <v>1.7292418772563174</v>
      </c>
      <c r="R64" s="211">
        <f t="shared" si="51"/>
        <v>1.7294776119402986</v>
      </c>
      <c r="S64" s="216">
        <f t="shared" si="51"/>
        <v>1.7292418772563174</v>
      </c>
      <c r="T64" s="255">
        <f t="shared" si="51"/>
        <v>1.1851851851851851</v>
      </c>
      <c r="U64" s="211">
        <f t="shared" si="51"/>
        <v>1.1851851851851851</v>
      </c>
      <c r="V64" s="211">
        <f t="shared" si="51"/>
        <v>1.1851851851851851</v>
      </c>
      <c r="W64" s="211">
        <f t="shared" si="51"/>
        <v>1.1851851851851851</v>
      </c>
      <c r="X64" s="211">
        <f t="shared" si="51"/>
        <v>1.1851851851851851</v>
      </c>
      <c r="Y64" s="211">
        <f t="shared" si="51"/>
        <v>1.1851851851851851</v>
      </c>
      <c r="Z64" s="211">
        <f t="shared" si="51"/>
        <v>1.1851851851851851</v>
      </c>
      <c r="AA64" s="211">
        <f t="shared" si="51"/>
        <v>1.1851851851851851</v>
      </c>
      <c r="AB64" s="211">
        <f t="shared" si="51"/>
        <v>1.1851851851851851</v>
      </c>
      <c r="AC64" s="211">
        <f t="shared" si="51"/>
        <v>1.1851851851851851</v>
      </c>
      <c r="AD64" s="211">
        <f t="shared" si="51"/>
        <v>1.1851851851851851</v>
      </c>
      <c r="AE64" s="214">
        <f t="shared" si="51"/>
        <v>1.1851851851851851</v>
      </c>
      <c r="AF64" s="215">
        <f>ROUND(AF53,2)/ROUND(AF39,2)-1</f>
        <v>1.1851851851851851</v>
      </c>
      <c r="AG64" s="211">
        <f t="shared" si="51"/>
        <v>1.1851851851851851</v>
      </c>
      <c r="AH64" s="211">
        <f t="shared" si="51"/>
        <v>1.1851851851851851</v>
      </c>
      <c r="AI64" s="211">
        <f t="shared" si="51"/>
        <v>1.1851851851851851</v>
      </c>
      <c r="AJ64" s="211">
        <f t="shared" si="51"/>
        <v>1.1851851851851851</v>
      </c>
      <c r="AK64" s="211">
        <f t="shared" si="51"/>
        <v>1.1851851851851851</v>
      </c>
      <c r="AL64" s="211">
        <f t="shared" si="51"/>
        <v>1.1851851851851851</v>
      </c>
      <c r="AM64" s="211">
        <f t="shared" si="51"/>
        <v>1.1851851851851851</v>
      </c>
      <c r="AN64" s="211">
        <f t="shared" si="51"/>
        <v>1.1851851851851851</v>
      </c>
      <c r="AO64" s="211">
        <f t="shared" si="51"/>
        <v>1.1851851851851851</v>
      </c>
      <c r="AP64" s="211">
        <f t="shared" si="51"/>
        <v>1.1851851851851851</v>
      </c>
      <c r="AQ64" s="216">
        <f t="shared" si="51"/>
        <v>1.1851851851851851</v>
      </c>
    </row>
    <row r="65" spans="2:43" x14ac:dyDescent="0.3">
      <c r="B65" s="127" t="s">
        <v>138</v>
      </c>
      <c r="C65" s="216" t="s">
        <v>2</v>
      </c>
      <c r="D65" s="255" t="s">
        <v>2</v>
      </c>
      <c r="E65" s="211" t="s">
        <v>2</v>
      </c>
      <c r="F65" s="211" t="s">
        <v>2</v>
      </c>
      <c r="G65" s="216" t="s">
        <v>2</v>
      </c>
      <c r="H65" s="255" t="s">
        <v>2</v>
      </c>
      <c r="I65" s="211" t="s">
        <v>2</v>
      </c>
      <c r="J65" s="211" t="s">
        <v>2</v>
      </c>
      <c r="K65" s="211" t="s">
        <v>2</v>
      </c>
      <c r="L65" s="211" t="s">
        <v>2</v>
      </c>
      <c r="M65" s="211" t="s">
        <v>2</v>
      </c>
      <c r="N65" s="211" t="s">
        <v>2</v>
      </c>
      <c r="O65" s="211" t="s">
        <v>2</v>
      </c>
      <c r="P65" s="211" t="s">
        <v>2</v>
      </c>
      <c r="Q65" s="211" t="s">
        <v>2</v>
      </c>
      <c r="R65" s="211" t="s">
        <v>2</v>
      </c>
      <c r="S65" s="216" t="s">
        <v>2</v>
      </c>
      <c r="T65" s="255" t="s">
        <v>2</v>
      </c>
      <c r="U65" s="211" t="s">
        <v>2</v>
      </c>
      <c r="V65" s="211" t="s">
        <v>2</v>
      </c>
      <c r="W65" s="211" t="s">
        <v>2</v>
      </c>
      <c r="X65" s="211" t="s">
        <v>2</v>
      </c>
      <c r="Y65" s="211" t="s">
        <v>2</v>
      </c>
      <c r="Z65" s="211" t="s">
        <v>2</v>
      </c>
      <c r="AA65" s="211" t="s">
        <v>2</v>
      </c>
      <c r="AB65" s="211" t="s">
        <v>2</v>
      </c>
      <c r="AC65" s="211" t="s">
        <v>2</v>
      </c>
      <c r="AD65" s="211" t="s">
        <v>2</v>
      </c>
      <c r="AE65" s="214" t="s">
        <v>2</v>
      </c>
      <c r="AF65" s="215" t="s">
        <v>2</v>
      </c>
      <c r="AG65" s="211" t="s">
        <v>2</v>
      </c>
      <c r="AH65" s="211" t="s">
        <v>2</v>
      </c>
      <c r="AI65" s="211" t="s">
        <v>2</v>
      </c>
      <c r="AJ65" s="211" t="s">
        <v>2</v>
      </c>
      <c r="AK65" s="211" t="s">
        <v>2</v>
      </c>
      <c r="AL65" s="211" t="s">
        <v>2</v>
      </c>
      <c r="AM65" s="211" t="s">
        <v>2</v>
      </c>
      <c r="AN65" s="211" t="s">
        <v>2</v>
      </c>
      <c r="AO65" s="211" t="s">
        <v>2</v>
      </c>
      <c r="AP65" s="211" t="s">
        <v>2</v>
      </c>
      <c r="AQ65" s="216" t="s">
        <v>2</v>
      </c>
    </row>
    <row r="66" spans="2:43" x14ac:dyDescent="0.3">
      <c r="B66" s="127" t="s">
        <v>51</v>
      </c>
      <c r="C66" s="216">
        <f>ROUND(C55,2)/ROUND(C41,2)-1</f>
        <v>2.2850897376898298</v>
      </c>
      <c r="D66" s="255">
        <f t="shared" ref="D66:AQ69" si="52">ROUND(D55,2)/ROUND(D41,2)-1</f>
        <v>1.9141791044776117</v>
      </c>
      <c r="E66" s="211">
        <f t="shared" si="52"/>
        <v>1.884047267355982</v>
      </c>
      <c r="F66" s="211">
        <f t="shared" si="52"/>
        <v>1.8838568298027756</v>
      </c>
      <c r="G66" s="216">
        <f t="shared" si="52"/>
        <v>1.8838568298027756</v>
      </c>
      <c r="H66" s="255">
        <f t="shared" si="52"/>
        <v>1.7292418772563174</v>
      </c>
      <c r="I66" s="211">
        <f t="shared" si="52"/>
        <v>1.8280000000000003</v>
      </c>
      <c r="J66" s="211">
        <f t="shared" si="52"/>
        <v>1.7292418772563174</v>
      </c>
      <c r="K66" s="211">
        <f t="shared" si="52"/>
        <v>1.7294776119402986</v>
      </c>
      <c r="L66" s="211">
        <f t="shared" si="52"/>
        <v>1.7292418772563174</v>
      </c>
      <c r="M66" s="211">
        <f t="shared" si="52"/>
        <v>1.7294776119402986</v>
      </c>
      <c r="N66" s="211">
        <f t="shared" si="52"/>
        <v>1.7292418772563174</v>
      </c>
      <c r="O66" s="211">
        <f t="shared" si="52"/>
        <v>1.7292418772563174</v>
      </c>
      <c r="P66" s="211">
        <f t="shared" si="52"/>
        <v>1.7294776119402986</v>
      </c>
      <c r="Q66" s="211">
        <f t="shared" si="52"/>
        <v>1.7292418772563174</v>
      </c>
      <c r="R66" s="211">
        <f t="shared" si="52"/>
        <v>1.7294776119402986</v>
      </c>
      <c r="S66" s="216">
        <f t="shared" si="52"/>
        <v>1.7292418772563174</v>
      </c>
      <c r="T66" s="255">
        <f t="shared" si="52"/>
        <v>1.1851851851851851</v>
      </c>
      <c r="U66" s="211">
        <f t="shared" si="52"/>
        <v>1.1851851851851851</v>
      </c>
      <c r="V66" s="211">
        <f t="shared" si="52"/>
        <v>1.1851851851851851</v>
      </c>
      <c r="W66" s="211">
        <f t="shared" si="52"/>
        <v>1.1851851851851851</v>
      </c>
      <c r="X66" s="211">
        <f t="shared" si="52"/>
        <v>1.1851851851851851</v>
      </c>
      <c r="Y66" s="211">
        <f t="shared" si="52"/>
        <v>1.1851851851851851</v>
      </c>
      <c r="Z66" s="211">
        <f t="shared" si="52"/>
        <v>1.1851851851851851</v>
      </c>
      <c r="AA66" s="211">
        <f t="shared" si="52"/>
        <v>1.1851851851851851</v>
      </c>
      <c r="AB66" s="211">
        <f t="shared" si="52"/>
        <v>1.1851851851851851</v>
      </c>
      <c r="AC66" s="211">
        <f t="shared" si="52"/>
        <v>1.1851851851851851</v>
      </c>
      <c r="AD66" s="211">
        <f t="shared" si="52"/>
        <v>1.1851851851851851</v>
      </c>
      <c r="AE66" s="214">
        <f t="shared" si="52"/>
        <v>1.1851851851851851</v>
      </c>
      <c r="AF66" s="215">
        <f t="shared" si="52"/>
        <v>1.1851851851851851</v>
      </c>
      <c r="AG66" s="211">
        <f t="shared" si="52"/>
        <v>1.1851851851851851</v>
      </c>
      <c r="AH66" s="211">
        <f t="shared" si="52"/>
        <v>1.1851851851851851</v>
      </c>
      <c r="AI66" s="211">
        <f t="shared" si="52"/>
        <v>1.1851851851851851</v>
      </c>
      <c r="AJ66" s="211">
        <f t="shared" si="52"/>
        <v>1.1851851851851851</v>
      </c>
      <c r="AK66" s="211">
        <f t="shared" si="52"/>
        <v>1.1851851851851851</v>
      </c>
      <c r="AL66" s="211">
        <f t="shared" si="52"/>
        <v>1.1851851851851851</v>
      </c>
      <c r="AM66" s="211">
        <f t="shared" si="52"/>
        <v>1.1851851851851851</v>
      </c>
      <c r="AN66" s="211">
        <f t="shared" si="52"/>
        <v>1.1851851851851851</v>
      </c>
      <c r="AO66" s="211">
        <f t="shared" si="52"/>
        <v>1.1851851851851851</v>
      </c>
      <c r="AP66" s="211">
        <f t="shared" si="52"/>
        <v>1.1851851851851851</v>
      </c>
      <c r="AQ66" s="216">
        <f t="shared" si="52"/>
        <v>1.1851851851851851</v>
      </c>
    </row>
    <row r="67" spans="2:43" x14ac:dyDescent="0.3">
      <c r="B67" s="127" t="s">
        <v>55</v>
      </c>
      <c r="C67" s="216">
        <f t="shared" ref="C67:R69" si="53">ROUND(C56,2)/ROUND(C42,2)-1</f>
        <v>2.7332635983263596</v>
      </c>
      <c r="D67" s="255">
        <f t="shared" si="53"/>
        <v>2.3084745762711862</v>
      </c>
      <c r="E67" s="211">
        <f t="shared" si="53"/>
        <v>2.2751677852348995</v>
      </c>
      <c r="F67" s="211">
        <f t="shared" si="53"/>
        <v>2.2790697674418605</v>
      </c>
      <c r="G67" s="216">
        <f t="shared" si="53"/>
        <v>2.2790697674418605</v>
      </c>
      <c r="H67" s="255">
        <f t="shared" si="53"/>
        <v>2.098360655737705</v>
      </c>
      <c r="I67" s="211">
        <f t="shared" si="53"/>
        <v>2.2090909090909085</v>
      </c>
      <c r="J67" s="211">
        <f t="shared" si="53"/>
        <v>2.098360655737705</v>
      </c>
      <c r="K67" s="211">
        <f t="shared" si="53"/>
        <v>2.1016949152542375</v>
      </c>
      <c r="L67" s="211">
        <f t="shared" si="53"/>
        <v>2.098360655737705</v>
      </c>
      <c r="M67" s="211">
        <f t="shared" si="53"/>
        <v>2.1016949152542375</v>
      </c>
      <c r="N67" s="211">
        <f t="shared" si="53"/>
        <v>2.098360655737705</v>
      </c>
      <c r="O67" s="211">
        <f t="shared" si="53"/>
        <v>2.098360655737705</v>
      </c>
      <c r="P67" s="211">
        <f t="shared" si="53"/>
        <v>2.1016949152542375</v>
      </c>
      <c r="Q67" s="211">
        <f t="shared" si="53"/>
        <v>2.098360655737705</v>
      </c>
      <c r="R67" s="211">
        <f t="shared" si="53"/>
        <v>2.1016949152542375</v>
      </c>
      <c r="S67" s="216">
        <f t="shared" si="52"/>
        <v>2.098360655737705</v>
      </c>
      <c r="T67" s="255">
        <f t="shared" si="52"/>
        <v>1.5</v>
      </c>
      <c r="U67" s="211">
        <f t="shared" si="52"/>
        <v>1.5</v>
      </c>
      <c r="V67" s="211">
        <f t="shared" si="52"/>
        <v>1.5</v>
      </c>
      <c r="W67" s="211">
        <f t="shared" si="52"/>
        <v>1.5</v>
      </c>
      <c r="X67" s="211">
        <f t="shared" si="52"/>
        <v>1.5</v>
      </c>
      <c r="Y67" s="211">
        <f t="shared" si="52"/>
        <v>1.5</v>
      </c>
      <c r="Z67" s="211">
        <f t="shared" si="52"/>
        <v>1.5</v>
      </c>
      <c r="AA67" s="211">
        <f t="shared" si="52"/>
        <v>1.5</v>
      </c>
      <c r="AB67" s="211">
        <f t="shared" si="52"/>
        <v>1.5</v>
      </c>
      <c r="AC67" s="211">
        <f t="shared" si="52"/>
        <v>1.5</v>
      </c>
      <c r="AD67" s="211">
        <f t="shared" si="52"/>
        <v>1.5</v>
      </c>
      <c r="AE67" s="214">
        <f t="shared" si="52"/>
        <v>1.5</v>
      </c>
      <c r="AF67" s="215">
        <f t="shared" si="52"/>
        <v>1.5</v>
      </c>
      <c r="AG67" s="211">
        <f t="shared" si="52"/>
        <v>1.5</v>
      </c>
      <c r="AH67" s="211">
        <f t="shared" si="52"/>
        <v>1.5</v>
      </c>
      <c r="AI67" s="211">
        <f t="shared" si="52"/>
        <v>1.5</v>
      </c>
      <c r="AJ67" s="211">
        <f t="shared" si="52"/>
        <v>1.5</v>
      </c>
      <c r="AK67" s="211">
        <f t="shared" si="52"/>
        <v>1.5</v>
      </c>
      <c r="AL67" s="211">
        <f t="shared" si="52"/>
        <v>1.5</v>
      </c>
      <c r="AM67" s="211">
        <f t="shared" si="52"/>
        <v>1.5</v>
      </c>
      <c r="AN67" s="211">
        <f t="shared" si="52"/>
        <v>1.5</v>
      </c>
      <c r="AO67" s="211">
        <f t="shared" si="52"/>
        <v>1.5</v>
      </c>
      <c r="AP67" s="211">
        <f t="shared" si="52"/>
        <v>1.5</v>
      </c>
      <c r="AQ67" s="216">
        <f t="shared" si="52"/>
        <v>1.5</v>
      </c>
    </row>
    <row r="68" spans="2:43" x14ac:dyDescent="0.3">
      <c r="B68" s="127" t="s">
        <v>52</v>
      </c>
      <c r="C68" s="216">
        <f>ROUND(C57,2)/ROUND(C43,2)-1</f>
        <v>-0.4198757763975155</v>
      </c>
      <c r="D68" s="255">
        <f t="shared" si="53"/>
        <v>-0.48515061518879932</v>
      </c>
      <c r="E68" s="211">
        <f t="shared" si="53"/>
        <v>-0.49087476400251728</v>
      </c>
      <c r="F68" s="211">
        <f t="shared" si="53"/>
        <v>-0.49097323096078016</v>
      </c>
      <c r="G68" s="216">
        <f t="shared" si="53"/>
        <v>-0.49097323096078016</v>
      </c>
      <c r="H68" s="255">
        <f t="shared" si="53"/>
        <v>-0.48378229796591532</v>
      </c>
      <c r="I68" s="211">
        <f t="shared" si="53"/>
        <v>-0.46500304321363362</v>
      </c>
      <c r="J68" s="211">
        <f t="shared" si="53"/>
        <v>-0.48378229796591532</v>
      </c>
      <c r="K68" s="211">
        <f t="shared" si="53"/>
        <v>-0.48352272727272727</v>
      </c>
      <c r="L68" s="211">
        <f t="shared" si="53"/>
        <v>-0.48378229796591532</v>
      </c>
      <c r="M68" s="211">
        <f t="shared" si="53"/>
        <v>-0.48352272727272727</v>
      </c>
      <c r="N68" s="211">
        <f t="shared" si="53"/>
        <v>-0.48378229796591532</v>
      </c>
      <c r="O68" s="211">
        <f t="shared" si="53"/>
        <v>-0.48378229796591532</v>
      </c>
      <c r="P68" s="211">
        <f t="shared" si="53"/>
        <v>-0.48352272727272727</v>
      </c>
      <c r="Q68" s="211">
        <f t="shared" si="53"/>
        <v>-0.48378229796591532</v>
      </c>
      <c r="R68" s="211">
        <f t="shared" si="53"/>
        <v>-0.48352272727272727</v>
      </c>
      <c r="S68" s="216">
        <f t="shared" si="52"/>
        <v>-0.48378229796591532</v>
      </c>
      <c r="T68" s="255">
        <f t="shared" si="52"/>
        <v>-0.4285714285714286</v>
      </c>
      <c r="U68" s="211">
        <f t="shared" si="52"/>
        <v>-0.4285714285714286</v>
      </c>
      <c r="V68" s="211">
        <f t="shared" si="52"/>
        <v>-0.4285714285714286</v>
      </c>
      <c r="W68" s="211">
        <f t="shared" si="52"/>
        <v>-0.4285714285714286</v>
      </c>
      <c r="X68" s="211">
        <f t="shared" si="52"/>
        <v>-0.4285714285714286</v>
      </c>
      <c r="Y68" s="211">
        <f t="shared" si="52"/>
        <v>-0.4285714285714286</v>
      </c>
      <c r="Z68" s="211">
        <f t="shared" si="52"/>
        <v>-0.4285714285714286</v>
      </c>
      <c r="AA68" s="211">
        <f t="shared" si="52"/>
        <v>-0.4285714285714286</v>
      </c>
      <c r="AB68" s="211">
        <f t="shared" si="52"/>
        <v>-0.4285714285714286</v>
      </c>
      <c r="AC68" s="211">
        <f t="shared" si="52"/>
        <v>-0.4285714285714286</v>
      </c>
      <c r="AD68" s="211">
        <f t="shared" si="52"/>
        <v>-0.4285714285714286</v>
      </c>
      <c r="AE68" s="214">
        <f t="shared" si="52"/>
        <v>-0.4285714285714286</v>
      </c>
      <c r="AF68" s="215">
        <f t="shared" si="52"/>
        <v>-0.4285714285714286</v>
      </c>
      <c r="AG68" s="211">
        <f t="shared" si="52"/>
        <v>-0.4285714285714286</v>
      </c>
      <c r="AH68" s="211">
        <f t="shared" si="52"/>
        <v>-0.4285714285714286</v>
      </c>
      <c r="AI68" s="211">
        <f t="shared" si="52"/>
        <v>-0.4285714285714286</v>
      </c>
      <c r="AJ68" s="211">
        <f t="shared" si="52"/>
        <v>-0.4285714285714286</v>
      </c>
      <c r="AK68" s="211">
        <f t="shared" si="52"/>
        <v>-0.4285714285714286</v>
      </c>
      <c r="AL68" s="211">
        <f t="shared" si="52"/>
        <v>-0.4285714285714286</v>
      </c>
      <c r="AM68" s="211">
        <f t="shared" si="52"/>
        <v>-0.4285714285714286</v>
      </c>
      <c r="AN68" s="211">
        <f t="shared" si="52"/>
        <v>-0.4285714285714286</v>
      </c>
      <c r="AO68" s="211">
        <f t="shared" si="52"/>
        <v>-0.4285714285714286</v>
      </c>
      <c r="AP68" s="211">
        <f>ROUND(AP57,2)/ROUND(AP43,2)-1</f>
        <v>-0.4285714285714286</v>
      </c>
      <c r="AQ68" s="216">
        <f t="shared" si="52"/>
        <v>-0.4285714285714286</v>
      </c>
    </row>
    <row r="69" spans="2:43" x14ac:dyDescent="0.3">
      <c r="B69" s="127" t="s">
        <v>53</v>
      </c>
      <c r="C69" s="216">
        <f t="shared" si="53"/>
        <v>0.24211853720050436</v>
      </c>
      <c r="D69" s="255">
        <f t="shared" si="53"/>
        <v>-0.35380019913707272</v>
      </c>
      <c r="E69" s="211">
        <f t="shared" si="53"/>
        <v>-0.27207207207207207</v>
      </c>
      <c r="F69" s="211">
        <f t="shared" si="53"/>
        <v>-0.15352260778128279</v>
      </c>
      <c r="G69" s="216">
        <f t="shared" si="53"/>
        <v>-0.28428796636889131</v>
      </c>
      <c r="H69" s="255">
        <f t="shared" si="53"/>
        <v>-0.26486486486486482</v>
      </c>
      <c r="I69" s="211">
        <f t="shared" si="53"/>
        <v>-0.38828828828828832</v>
      </c>
      <c r="J69" s="211">
        <f t="shared" si="53"/>
        <v>7.3139974779319106E-2</v>
      </c>
      <c r="K69" s="211">
        <f t="shared" si="53"/>
        <v>-0.43533123028391163</v>
      </c>
      <c r="L69" s="211">
        <f t="shared" si="53"/>
        <v>-0.28398058252427183</v>
      </c>
      <c r="M69" s="211">
        <f t="shared" si="53"/>
        <v>-0.2354368932038835</v>
      </c>
      <c r="N69" s="211">
        <f t="shared" si="53"/>
        <v>-0.47815533980582525</v>
      </c>
      <c r="O69" s="211">
        <f t="shared" si="53"/>
        <v>-0.18689320388349517</v>
      </c>
      <c r="P69" s="211">
        <f t="shared" si="53"/>
        <v>-1.2135922330097082E-2</v>
      </c>
      <c r="Q69" s="211">
        <f t="shared" si="53"/>
        <v>-0.16246056782334384</v>
      </c>
      <c r="R69" s="211">
        <f t="shared" si="53"/>
        <v>-0.12933753943217674</v>
      </c>
      <c r="S69" s="216">
        <f t="shared" si="52"/>
        <v>-0.49909909909909911</v>
      </c>
      <c r="T69" s="255">
        <f t="shared" si="52"/>
        <v>-5.3571428571428603E-2</v>
      </c>
      <c r="U69" s="211">
        <f t="shared" si="52"/>
        <v>-0.16071428571428581</v>
      </c>
      <c r="V69" s="211">
        <f t="shared" si="52"/>
        <v>0.375</v>
      </c>
      <c r="W69" s="211">
        <f t="shared" si="52"/>
        <v>-0.25</v>
      </c>
      <c r="X69" s="211">
        <f t="shared" si="52"/>
        <v>-9.5238095238095233E-2</v>
      </c>
      <c r="Y69" s="211">
        <f t="shared" si="52"/>
        <v>0</v>
      </c>
      <c r="Z69" s="211">
        <f t="shared" si="52"/>
        <v>-0.33333333333333326</v>
      </c>
      <c r="AA69" s="211">
        <f t="shared" si="52"/>
        <v>4.7619047619047672E-2</v>
      </c>
      <c r="AB69" s="211">
        <f t="shared" si="52"/>
        <v>0.28571428571428581</v>
      </c>
      <c r="AC69" s="211">
        <f t="shared" si="52"/>
        <v>6.25E-2</v>
      </c>
      <c r="AD69" s="211">
        <f t="shared" si="52"/>
        <v>0.15625</v>
      </c>
      <c r="AE69" s="214">
        <f t="shared" si="52"/>
        <v>-0.35714285714285721</v>
      </c>
      <c r="AF69" s="215">
        <f t="shared" si="52"/>
        <v>-5.3571428571428603E-2</v>
      </c>
      <c r="AG69" s="211">
        <f t="shared" si="52"/>
        <v>-0.16071428571428581</v>
      </c>
      <c r="AH69" s="211">
        <f t="shared" si="52"/>
        <v>0.375</v>
      </c>
      <c r="AI69" s="211">
        <f t="shared" si="52"/>
        <v>-0.25</v>
      </c>
      <c r="AJ69" s="211">
        <f t="shared" si="52"/>
        <v>-9.5238095238095233E-2</v>
      </c>
      <c r="AK69" s="211">
        <f t="shared" si="52"/>
        <v>0</v>
      </c>
      <c r="AL69" s="211">
        <f t="shared" si="52"/>
        <v>-0.33333333333333326</v>
      </c>
      <c r="AM69" s="211">
        <f t="shared" si="52"/>
        <v>4.7619047619047672E-2</v>
      </c>
      <c r="AN69" s="211">
        <f t="shared" si="52"/>
        <v>0.28571428571428581</v>
      </c>
      <c r="AO69" s="211">
        <f t="shared" si="52"/>
        <v>6.25E-2</v>
      </c>
      <c r="AP69" s="211">
        <f>ROUND(AP58,2)/ROUND(AP44,2)-1</f>
        <v>0.15625</v>
      </c>
      <c r="AQ69" s="216">
        <f t="shared" si="52"/>
        <v>-0.35714285714285721</v>
      </c>
    </row>
    <row r="70" spans="2:43" ht="15" thickBot="1" x14ac:dyDescent="0.35">
      <c r="B70" s="306" t="s">
        <v>54</v>
      </c>
      <c r="C70" s="217">
        <f>ROUND(C59,2)/ROUND(C45,2)-1</f>
        <v>-0.43661417322834639</v>
      </c>
      <c r="D70" s="256">
        <f t="shared" ref="D70:AQ70" si="54">ROUND(D59,2)/ROUND(D45,2)-1</f>
        <v>-0.69954413593037712</v>
      </c>
      <c r="E70" s="212">
        <f t="shared" si="54"/>
        <v>-0.63976377952755903</v>
      </c>
      <c r="F70" s="212">
        <f t="shared" si="54"/>
        <v>-0.7463910761154855</v>
      </c>
      <c r="G70" s="217">
        <f t="shared" si="54"/>
        <v>-0.64009186351706038</v>
      </c>
      <c r="H70" s="256">
        <f t="shared" si="54"/>
        <v>-0.60123734533183359</v>
      </c>
      <c r="I70" s="212">
        <f t="shared" si="54"/>
        <v>-0.72075365579302586</v>
      </c>
      <c r="J70" s="212">
        <f t="shared" si="54"/>
        <v>-0.57913385826771657</v>
      </c>
      <c r="K70" s="212">
        <f t="shared" si="54"/>
        <v>-0.69881889763779526</v>
      </c>
      <c r="L70" s="212">
        <f t="shared" si="54"/>
        <v>-0.61468584405753224</v>
      </c>
      <c r="M70" s="212">
        <f t="shared" si="54"/>
        <v>-0.68054504163512497</v>
      </c>
      <c r="N70" s="212">
        <f t="shared" si="54"/>
        <v>-0.85692657077971235</v>
      </c>
      <c r="O70" s="212">
        <f t="shared" si="54"/>
        <v>-0.85162755488266462</v>
      </c>
      <c r="P70" s="212">
        <f t="shared" si="54"/>
        <v>-0.58970476911430736</v>
      </c>
      <c r="Q70" s="212">
        <f t="shared" si="54"/>
        <v>-0.61368110236220474</v>
      </c>
      <c r="R70" s="212">
        <f t="shared" si="54"/>
        <v>-0.58415354330708658</v>
      </c>
      <c r="S70" s="217">
        <f t="shared" si="54"/>
        <v>-0.71991001124859388</v>
      </c>
      <c r="T70" s="256">
        <f t="shared" si="54"/>
        <v>-0.4887640449438202</v>
      </c>
      <c r="U70" s="212">
        <f t="shared" si="54"/>
        <v>-0.61235955056179781</v>
      </c>
      <c r="V70" s="212">
        <f t="shared" si="54"/>
        <v>-0.45669291338582685</v>
      </c>
      <c r="W70" s="212">
        <f t="shared" si="54"/>
        <v>-0.59803921568627461</v>
      </c>
      <c r="X70" s="212">
        <f t="shared" si="54"/>
        <v>-0.5</v>
      </c>
      <c r="Y70" s="212">
        <f t="shared" si="54"/>
        <v>-0.57575757575757569</v>
      </c>
      <c r="Z70" s="212">
        <f t="shared" si="54"/>
        <v>-0.81818181818181823</v>
      </c>
      <c r="AA70" s="212">
        <f t="shared" si="54"/>
        <v>-0.80303030303030298</v>
      </c>
      <c r="AB70" s="212">
        <f t="shared" si="54"/>
        <v>-0.45454545454545459</v>
      </c>
      <c r="AC70" s="212">
        <f t="shared" si="54"/>
        <v>-0.5</v>
      </c>
      <c r="AD70" s="212">
        <f t="shared" si="54"/>
        <v>-0.4509803921568627</v>
      </c>
      <c r="AE70" s="218">
        <f t="shared" si="54"/>
        <v>-0.6404494382022472</v>
      </c>
      <c r="AF70" s="220">
        <f t="shared" si="54"/>
        <v>-0.4887640449438202</v>
      </c>
      <c r="AG70" s="212">
        <f t="shared" si="54"/>
        <v>-0.61235955056179781</v>
      </c>
      <c r="AH70" s="212">
        <f t="shared" si="54"/>
        <v>-0.45669291338582685</v>
      </c>
      <c r="AI70" s="212">
        <f t="shared" si="54"/>
        <v>-0.59803921568627461</v>
      </c>
      <c r="AJ70" s="212">
        <f t="shared" si="54"/>
        <v>-0.5</v>
      </c>
      <c r="AK70" s="212">
        <f t="shared" si="54"/>
        <v>-0.57575757575757569</v>
      </c>
      <c r="AL70" s="212">
        <f t="shared" si="54"/>
        <v>-0.81818181818181823</v>
      </c>
      <c r="AM70" s="212">
        <f t="shared" si="54"/>
        <v>-0.80303030303030298</v>
      </c>
      <c r="AN70" s="212">
        <f t="shared" si="54"/>
        <v>-0.45454545454545459</v>
      </c>
      <c r="AO70" s="212">
        <f t="shared" si="54"/>
        <v>-0.5</v>
      </c>
      <c r="AP70" s="212">
        <f t="shared" si="54"/>
        <v>-0.4509803921568627</v>
      </c>
      <c r="AQ70" s="217">
        <f t="shared" si="54"/>
        <v>-0.6404494382022472</v>
      </c>
    </row>
  </sheetData>
  <mergeCells count="40">
    <mergeCell ref="C14:C15"/>
    <mergeCell ref="B21:B22"/>
    <mergeCell ref="D21:G21"/>
    <mergeCell ref="H21:S21"/>
    <mergeCell ref="C21:C22"/>
    <mergeCell ref="H14:K14"/>
    <mergeCell ref="L14:N14"/>
    <mergeCell ref="T21:AE21"/>
    <mergeCell ref="T26:AE26"/>
    <mergeCell ref="B5:S5"/>
    <mergeCell ref="C33:C38"/>
    <mergeCell ref="D8:G8"/>
    <mergeCell ref="C8:C9"/>
    <mergeCell ref="H8:S8"/>
    <mergeCell ref="D33:G33"/>
    <mergeCell ref="B7:S7"/>
    <mergeCell ref="B26:B27"/>
    <mergeCell ref="C26:C27"/>
    <mergeCell ref="D26:G26"/>
    <mergeCell ref="H26:S26"/>
    <mergeCell ref="D14:G14"/>
    <mergeCell ref="B8:B9"/>
    <mergeCell ref="B14:B15"/>
    <mergeCell ref="B31:AQ31"/>
    <mergeCell ref="B32:AQ32"/>
    <mergeCell ref="B46:AQ46"/>
    <mergeCell ref="C47:C52"/>
    <mergeCell ref="D47:G47"/>
    <mergeCell ref="H47:S47"/>
    <mergeCell ref="T47:AE47"/>
    <mergeCell ref="AF33:AQ33"/>
    <mergeCell ref="H33:S33"/>
    <mergeCell ref="AF47:AQ47"/>
    <mergeCell ref="T33:AE33"/>
    <mergeCell ref="B61:AQ61"/>
    <mergeCell ref="C62:C63"/>
    <mergeCell ref="D62:G62"/>
    <mergeCell ref="H62:S62"/>
    <mergeCell ref="T62:AE62"/>
    <mergeCell ref="AF62:AQ62"/>
  </mergeCells>
  <pageMargins left="0.7" right="0.7" top="0.75" bottom="0.75" header="0.3" footer="0.3"/>
  <pageSetup paperSize="9" scale="3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59"/>
  <sheetViews>
    <sheetView showGridLines="0" zoomScale="80" zoomScaleNormal="80" workbookViewId="0">
      <selection activeCell="B92" sqref="B92"/>
    </sheetView>
  </sheetViews>
  <sheetFormatPr defaultRowHeight="14.4" x14ac:dyDescent="0.3"/>
  <cols>
    <col min="1" max="1" width="2.109375" customWidth="1"/>
    <col min="2" max="2" width="42.109375" customWidth="1"/>
    <col min="3" max="14" width="8.6640625" customWidth="1"/>
    <col min="15" max="15" width="9.6640625" customWidth="1"/>
    <col min="16" max="30" width="6.6640625" customWidth="1"/>
  </cols>
  <sheetData>
    <row r="1" spans="2:23" ht="25.2" customHeight="1" x14ac:dyDescent="0.3">
      <c r="B1" s="142" t="s">
        <v>61</v>
      </c>
      <c r="C1" s="86"/>
      <c r="D1" s="86"/>
      <c r="E1" s="86"/>
      <c r="F1" s="86"/>
      <c r="G1" s="86"/>
      <c r="H1" s="86"/>
      <c r="I1" s="86"/>
      <c r="J1" s="86"/>
      <c r="K1" s="86"/>
      <c r="L1" s="86"/>
      <c r="M1" s="86"/>
      <c r="N1" s="86"/>
      <c r="O1" s="86"/>
      <c r="P1" s="86"/>
      <c r="Q1" s="86"/>
      <c r="R1" s="86"/>
      <c r="S1" s="86"/>
      <c r="T1" s="86"/>
      <c r="U1" s="86"/>
    </row>
    <row r="2" spans="2:23" ht="15.6" x14ac:dyDescent="0.3">
      <c r="B2" s="23" t="s">
        <v>81</v>
      </c>
      <c r="C2" s="23"/>
      <c r="D2" s="23"/>
      <c r="E2" s="23"/>
      <c r="F2" s="23"/>
      <c r="G2" s="23"/>
      <c r="H2" s="23"/>
      <c r="I2" s="23"/>
      <c r="J2" s="23"/>
      <c r="K2" s="23"/>
      <c r="L2" s="23"/>
      <c r="M2" s="23"/>
      <c r="N2" s="23"/>
      <c r="O2" s="23"/>
      <c r="P2" s="23"/>
      <c r="Q2" s="23"/>
      <c r="R2" s="23"/>
      <c r="S2" s="23"/>
      <c r="T2" s="23"/>
      <c r="U2" s="23"/>
      <c r="V2" s="85"/>
    </row>
    <row r="3" spans="2:23" ht="14.4" customHeight="1" x14ac:dyDescent="0.3">
      <c r="B3" s="24" t="s">
        <v>7</v>
      </c>
      <c r="C3" s="4"/>
      <c r="D3" s="4"/>
      <c r="E3" s="4"/>
      <c r="F3" s="4"/>
      <c r="G3" s="4"/>
      <c r="H3" s="4"/>
      <c r="I3" s="4"/>
      <c r="J3" s="4"/>
      <c r="K3" s="4"/>
      <c r="L3" s="4"/>
      <c r="M3" s="4"/>
      <c r="N3" s="4"/>
      <c r="O3" s="4"/>
      <c r="P3" s="4"/>
      <c r="Q3" s="4"/>
      <c r="R3" s="4"/>
      <c r="S3" s="27"/>
      <c r="T3" s="27"/>
      <c r="U3" s="27"/>
      <c r="V3" s="27"/>
    </row>
    <row r="4" spans="2:23" x14ac:dyDescent="0.3">
      <c r="B4" s="213" t="s">
        <v>56</v>
      </c>
      <c r="C4" s="3"/>
      <c r="D4" s="3"/>
      <c r="E4" s="3"/>
      <c r="F4" s="3"/>
    </row>
    <row r="5" spans="2:23" x14ac:dyDescent="0.3">
      <c r="B5" s="10"/>
      <c r="C5" s="3"/>
      <c r="D5" s="3"/>
      <c r="E5" s="3"/>
      <c r="F5" s="3"/>
    </row>
    <row r="6" spans="2:23" ht="41.4" customHeight="1" x14ac:dyDescent="0.3">
      <c r="B6" s="376" t="s">
        <v>68</v>
      </c>
      <c r="C6" s="376"/>
      <c r="D6" s="376"/>
      <c r="E6" s="376"/>
      <c r="F6" s="376"/>
      <c r="G6" s="376"/>
      <c r="H6" s="376"/>
      <c r="I6" s="376"/>
      <c r="J6" s="376"/>
      <c r="K6" s="376"/>
      <c r="L6" s="376"/>
      <c r="M6" s="376"/>
      <c r="N6" s="376"/>
      <c r="O6" s="376"/>
      <c r="P6" s="109"/>
      <c r="Q6" s="109"/>
      <c r="R6" s="109"/>
      <c r="W6" s="8"/>
    </row>
    <row r="7" spans="2:23" ht="14.4" customHeight="1" x14ac:dyDescent="0.3">
      <c r="B7" s="370"/>
      <c r="C7" s="366" t="s">
        <v>65</v>
      </c>
      <c r="D7" s="366"/>
      <c r="E7" s="366"/>
      <c r="F7" s="366"/>
      <c r="G7" s="366"/>
      <c r="H7" s="366"/>
      <c r="I7" s="366"/>
      <c r="J7" s="366"/>
      <c r="K7" s="366"/>
      <c r="L7" s="366"/>
      <c r="M7" s="366"/>
      <c r="N7" s="366"/>
      <c r="O7" s="366"/>
      <c r="P7" s="100"/>
      <c r="Q7" s="100"/>
      <c r="R7" s="100"/>
      <c r="S7" s="95"/>
      <c r="T7" s="95"/>
      <c r="U7" s="95"/>
      <c r="V7" s="95"/>
      <c r="W7" s="8"/>
    </row>
    <row r="8" spans="2:23" x14ac:dyDescent="0.3">
      <c r="B8" s="370"/>
      <c r="C8" s="88" t="s">
        <v>16</v>
      </c>
      <c r="D8" s="88" t="s">
        <v>17</v>
      </c>
      <c r="E8" s="304" t="s">
        <v>18</v>
      </c>
      <c r="F8" s="304" t="s">
        <v>19</v>
      </c>
      <c r="G8" s="304" t="s">
        <v>20</v>
      </c>
      <c r="H8" s="304" t="s">
        <v>21</v>
      </c>
      <c r="I8" s="304" t="s">
        <v>22</v>
      </c>
      <c r="J8" s="304" t="s">
        <v>23</v>
      </c>
      <c r="K8" s="304" t="s">
        <v>24</v>
      </c>
      <c r="L8" s="304" t="s">
        <v>25</v>
      </c>
      <c r="M8" s="304" t="s">
        <v>26</v>
      </c>
      <c r="N8" s="304" t="s">
        <v>27</v>
      </c>
      <c r="O8" s="88" t="s">
        <v>64</v>
      </c>
      <c r="P8" s="110"/>
      <c r="Q8" s="110"/>
      <c r="R8" s="110"/>
      <c r="S8" s="28"/>
      <c r="T8" s="28"/>
      <c r="U8" s="28"/>
      <c r="V8" s="28"/>
    </row>
    <row r="9" spans="2:23" x14ac:dyDescent="0.3">
      <c r="B9" s="91" t="s">
        <v>63</v>
      </c>
      <c r="C9" s="161">
        <v>2569847.5410000002</v>
      </c>
      <c r="D9" s="161">
        <v>2219043.463</v>
      </c>
      <c r="E9" s="161">
        <v>2228648.682</v>
      </c>
      <c r="F9" s="161">
        <v>1710821.14</v>
      </c>
      <c r="G9" s="161">
        <v>1535155.69</v>
      </c>
      <c r="H9" s="161">
        <v>1423652.727</v>
      </c>
      <c r="I9" s="161">
        <v>941189.55599999998</v>
      </c>
      <c r="J9" s="161">
        <v>956102.61399999994</v>
      </c>
      <c r="K9" s="161">
        <v>1611597.79</v>
      </c>
      <c r="L9" s="161">
        <v>1908721.632</v>
      </c>
      <c r="M9" s="161">
        <v>2016185.0660000001</v>
      </c>
      <c r="N9" s="161">
        <v>2150871.0520000001</v>
      </c>
      <c r="O9" s="112">
        <f>SUM(C9:N9)</f>
        <v>21271836.953000002</v>
      </c>
      <c r="S9" s="28"/>
      <c r="T9" s="28"/>
      <c r="U9" s="28"/>
      <c r="V9" s="28"/>
    </row>
    <row r="10" spans="2:23" x14ac:dyDescent="0.3">
      <c r="B10" s="89"/>
      <c r="C10" s="107"/>
      <c r="D10" s="107"/>
      <c r="E10" s="107"/>
      <c r="F10" s="107"/>
      <c r="G10" s="107"/>
      <c r="H10" s="107"/>
      <c r="I10" s="107"/>
      <c r="J10" s="107"/>
      <c r="K10" s="107"/>
      <c r="L10" s="107"/>
      <c r="M10" s="107"/>
      <c r="N10" s="107"/>
      <c r="O10" s="108"/>
      <c r="S10" s="28"/>
      <c r="T10" s="28"/>
      <c r="U10" s="28"/>
      <c r="V10" s="28"/>
    </row>
    <row r="11" spans="2:23" ht="40.200000000000003" customHeight="1" x14ac:dyDescent="0.3">
      <c r="B11" s="376" t="s">
        <v>69</v>
      </c>
      <c r="C11" s="376"/>
      <c r="D11" s="376"/>
      <c r="E11" s="376"/>
      <c r="F11" s="376"/>
      <c r="G11" s="376"/>
      <c r="H11" s="376"/>
      <c r="I11" s="376"/>
      <c r="J11" s="376"/>
      <c r="K11" s="376"/>
      <c r="L11" s="376"/>
      <c r="M11" s="376"/>
      <c r="N11" s="376"/>
      <c r="O11" s="376"/>
      <c r="S11" s="28"/>
      <c r="T11" s="28"/>
      <c r="U11" s="28"/>
      <c r="V11" s="28"/>
    </row>
    <row r="12" spans="2:23" x14ac:dyDescent="0.3">
      <c r="B12" s="370"/>
      <c r="C12" s="366" t="s">
        <v>67</v>
      </c>
      <c r="D12" s="366"/>
      <c r="E12" s="366"/>
      <c r="F12" s="366"/>
      <c r="G12" s="366"/>
      <c r="H12" s="366"/>
      <c r="I12" s="366"/>
      <c r="J12" s="366"/>
      <c r="K12" s="366"/>
      <c r="L12" s="366"/>
      <c r="M12" s="366"/>
      <c r="N12" s="366"/>
      <c r="O12" s="366"/>
      <c r="S12" s="28"/>
      <c r="T12" s="28"/>
      <c r="U12" s="28"/>
      <c r="V12" s="28"/>
    </row>
    <row r="13" spans="2:23" x14ac:dyDescent="0.3">
      <c r="B13" s="370"/>
      <c r="C13" s="304" t="s">
        <v>16</v>
      </c>
      <c r="D13" s="304" t="s">
        <v>17</v>
      </c>
      <c r="E13" s="304" t="s">
        <v>18</v>
      </c>
      <c r="F13" s="304" t="s">
        <v>19</v>
      </c>
      <c r="G13" s="304" t="s">
        <v>20</v>
      </c>
      <c r="H13" s="304" t="s">
        <v>21</v>
      </c>
      <c r="I13" s="304" t="s">
        <v>22</v>
      </c>
      <c r="J13" s="304" t="s">
        <v>23</v>
      </c>
      <c r="K13" s="304" t="s">
        <v>24</v>
      </c>
      <c r="L13" s="304" t="s">
        <v>25</v>
      </c>
      <c r="M13" s="304" t="s">
        <v>26</v>
      </c>
      <c r="N13" s="304" t="s">
        <v>27</v>
      </c>
      <c r="O13" s="304" t="s">
        <v>64</v>
      </c>
      <c r="S13" s="28"/>
      <c r="T13" s="28"/>
      <c r="U13" s="28"/>
      <c r="V13" s="28"/>
    </row>
    <row r="14" spans="2:23" x14ac:dyDescent="0.3">
      <c r="B14" s="91" t="s">
        <v>72</v>
      </c>
      <c r="C14" s="111">
        <f>C9/$O$9</f>
        <v>0.12080985514688097</v>
      </c>
      <c r="D14" s="111">
        <f t="shared" ref="D14:N14" si="0">D9/$O$9</f>
        <v>0.10431837494349752</v>
      </c>
      <c r="E14" s="111">
        <f t="shared" si="0"/>
        <v>0.10476992123078915</v>
      </c>
      <c r="F14" s="111">
        <f t="shared" si="0"/>
        <v>8.0426582047429612E-2</v>
      </c>
      <c r="G14" s="111">
        <f t="shared" si="0"/>
        <v>7.2168458859097007E-2</v>
      </c>
      <c r="H14" s="111">
        <f t="shared" si="0"/>
        <v>6.6926647197679837E-2</v>
      </c>
      <c r="I14" s="111">
        <f>I9/$O$9</f>
        <v>4.4245805290796122E-2</v>
      </c>
      <c r="J14" s="111">
        <f t="shared" si="0"/>
        <v>4.4946875820480528E-2</v>
      </c>
      <c r="K14" s="111">
        <f t="shared" si="0"/>
        <v>7.5762041311280073E-2</v>
      </c>
      <c r="L14" s="111">
        <f t="shared" si="0"/>
        <v>8.9729986000612411E-2</v>
      </c>
      <c r="M14" s="111">
        <f t="shared" si="0"/>
        <v>9.4781897325310879E-2</v>
      </c>
      <c r="N14" s="111">
        <f t="shared" si="0"/>
        <v>0.10111355482614581</v>
      </c>
      <c r="O14" s="111">
        <f>SUM(C14:N14)</f>
        <v>0.99999999999999989</v>
      </c>
      <c r="S14" s="28"/>
      <c r="T14" s="28"/>
      <c r="U14" s="28"/>
      <c r="V14" s="28"/>
    </row>
    <row r="15" spans="2:23" x14ac:dyDescent="0.3">
      <c r="B15" s="89"/>
      <c r="C15" s="107"/>
      <c r="D15" s="107"/>
      <c r="E15" s="114"/>
      <c r="F15" s="114"/>
      <c r="G15" s="107"/>
      <c r="H15" s="107"/>
      <c r="I15" s="107"/>
      <c r="J15" s="107"/>
      <c r="K15" s="107"/>
      <c r="L15" s="107"/>
      <c r="M15" s="107"/>
      <c r="N15" s="107"/>
      <c r="O15" s="108"/>
      <c r="S15" s="28"/>
      <c r="T15" s="28"/>
      <c r="U15" s="28"/>
      <c r="V15" s="28"/>
    </row>
    <row r="16" spans="2:23" ht="41.4" customHeight="1" x14ac:dyDescent="0.3">
      <c r="B16" s="376" t="s">
        <v>70</v>
      </c>
      <c r="C16" s="376"/>
      <c r="D16" s="376"/>
      <c r="E16" s="376"/>
      <c r="F16" s="376"/>
      <c r="G16" s="376"/>
      <c r="H16" s="376"/>
      <c r="I16" s="376"/>
      <c r="J16" s="376"/>
      <c r="K16" s="376"/>
      <c r="L16" s="376"/>
      <c r="M16" s="376"/>
      <c r="N16" s="376"/>
      <c r="O16" s="109"/>
      <c r="S16" s="28"/>
      <c r="T16" s="28"/>
      <c r="U16" s="28"/>
      <c r="V16" s="28"/>
    </row>
    <row r="17" spans="2:22" ht="14.4" customHeight="1" x14ac:dyDescent="0.3">
      <c r="B17" s="370"/>
      <c r="C17" s="366" t="s">
        <v>67</v>
      </c>
      <c r="D17" s="366"/>
      <c r="E17" s="366"/>
      <c r="F17" s="366"/>
      <c r="G17" s="366"/>
      <c r="H17" s="366"/>
      <c r="I17" s="366"/>
      <c r="J17" s="366"/>
      <c r="K17" s="366"/>
      <c r="L17" s="366"/>
      <c r="M17" s="366"/>
      <c r="N17" s="366"/>
      <c r="O17" s="115"/>
      <c r="S17" s="28"/>
      <c r="T17" s="28"/>
      <c r="U17" s="28"/>
      <c r="V17" s="28"/>
    </row>
    <row r="18" spans="2:22" x14ac:dyDescent="0.3">
      <c r="B18" s="370"/>
      <c r="C18" s="304" t="s">
        <v>16</v>
      </c>
      <c r="D18" s="304" t="s">
        <v>17</v>
      </c>
      <c r="E18" s="304" t="s">
        <v>18</v>
      </c>
      <c r="F18" s="304" t="s">
        <v>19</v>
      </c>
      <c r="G18" s="304" t="s">
        <v>20</v>
      </c>
      <c r="H18" s="304" t="s">
        <v>21</v>
      </c>
      <c r="I18" s="304" t="s">
        <v>22</v>
      </c>
      <c r="J18" s="304" t="s">
        <v>23</v>
      </c>
      <c r="K18" s="304" t="s">
        <v>24</v>
      </c>
      <c r="L18" s="304" t="s">
        <v>25</v>
      </c>
      <c r="M18" s="304" t="s">
        <v>26</v>
      </c>
      <c r="N18" s="304" t="s">
        <v>27</v>
      </c>
      <c r="O18" s="116"/>
      <c r="S18" s="28"/>
      <c r="T18" s="28"/>
      <c r="U18" s="28"/>
      <c r="V18" s="28"/>
    </row>
    <row r="19" spans="2:22" x14ac:dyDescent="0.3">
      <c r="B19" s="91" t="s">
        <v>73</v>
      </c>
      <c r="C19" s="111">
        <f>IF(C14&gt;0,C14*12,MIN(0.1,SMALL($C$14:$N$14,COUNTIF($C$14:$N$14,0)+1))*12)</f>
        <v>1.4497182617625717</v>
      </c>
      <c r="D19" s="111">
        <f t="shared" ref="D19:N19" si="1">IF(D14&gt;0,D14*12,MIN(0.1,SMALL($C$14:$N$14,COUNTIF($C$14:$N$14,0)+1))*12)</f>
        <v>1.2518204993219704</v>
      </c>
      <c r="E19" s="111">
        <f t="shared" si="1"/>
        <v>1.2572390547694698</v>
      </c>
      <c r="F19" s="111">
        <f t="shared" si="1"/>
        <v>0.96511898456915535</v>
      </c>
      <c r="G19" s="111">
        <f t="shared" si="1"/>
        <v>0.86602150630916408</v>
      </c>
      <c r="H19" s="111">
        <f t="shared" si="1"/>
        <v>0.80311976637215809</v>
      </c>
      <c r="I19" s="111">
        <f t="shared" si="1"/>
        <v>0.53094966348955341</v>
      </c>
      <c r="J19" s="111">
        <f t="shared" si="1"/>
        <v>0.53936250984576639</v>
      </c>
      <c r="K19" s="111">
        <f t="shared" si="1"/>
        <v>0.90914449573536094</v>
      </c>
      <c r="L19" s="111">
        <f t="shared" si="1"/>
        <v>1.0767598320073488</v>
      </c>
      <c r="M19" s="111">
        <f t="shared" si="1"/>
        <v>1.1373827679037305</v>
      </c>
      <c r="N19" s="111">
        <f t="shared" si="1"/>
        <v>1.2133626579137498</v>
      </c>
      <c r="O19" s="114"/>
      <c r="Q19" s="120"/>
      <c r="R19" s="110"/>
      <c r="S19" s="58"/>
      <c r="T19" s="28"/>
      <c r="U19" s="28"/>
      <c r="V19" s="28"/>
    </row>
    <row r="20" spans="2:22" x14ac:dyDescent="0.3">
      <c r="B20" s="89"/>
      <c r="C20" s="119"/>
      <c r="D20" s="107"/>
      <c r="E20" s="107"/>
      <c r="F20" s="107"/>
      <c r="G20" s="107"/>
      <c r="H20" s="107"/>
      <c r="I20" s="107"/>
      <c r="J20" s="107"/>
      <c r="K20" s="107"/>
      <c r="L20" s="107"/>
      <c r="M20" s="107"/>
      <c r="N20" s="107"/>
      <c r="O20" s="108"/>
      <c r="S20" s="28"/>
      <c r="T20" s="28"/>
      <c r="U20" s="28"/>
      <c r="V20" s="28"/>
    </row>
    <row r="21" spans="2:22" ht="43.2" customHeight="1" x14ac:dyDescent="0.3">
      <c r="B21" s="376" t="s">
        <v>71</v>
      </c>
      <c r="C21" s="376"/>
      <c r="D21" s="376"/>
      <c r="E21" s="376"/>
      <c r="F21" s="376"/>
      <c r="G21" s="376"/>
      <c r="H21" s="376"/>
      <c r="I21" s="376"/>
      <c r="J21" s="376"/>
      <c r="K21" s="376"/>
      <c r="L21" s="376"/>
      <c r="M21" s="376"/>
      <c r="N21" s="376"/>
      <c r="O21" s="109"/>
      <c r="S21" s="28"/>
      <c r="T21" s="28"/>
      <c r="U21" s="28"/>
      <c r="V21" s="28"/>
    </row>
    <row r="22" spans="2:22" ht="14.4" customHeight="1" x14ac:dyDescent="0.3">
      <c r="B22" s="370"/>
      <c r="C22" s="366" t="s">
        <v>67</v>
      </c>
      <c r="D22" s="366"/>
      <c r="E22" s="366"/>
      <c r="F22" s="366"/>
      <c r="G22" s="366"/>
      <c r="H22" s="366"/>
      <c r="I22" s="366"/>
      <c r="J22" s="366"/>
      <c r="K22" s="366"/>
      <c r="L22" s="366"/>
      <c r="M22" s="366"/>
      <c r="N22" s="366"/>
      <c r="O22" s="115"/>
      <c r="S22" s="28"/>
      <c r="T22" s="28"/>
      <c r="U22" s="28"/>
      <c r="V22" s="28"/>
    </row>
    <row r="23" spans="2:22" x14ac:dyDescent="0.3">
      <c r="B23" s="370"/>
      <c r="C23" s="304" t="s">
        <v>16</v>
      </c>
      <c r="D23" s="304" t="s">
        <v>17</v>
      </c>
      <c r="E23" s="304" t="s">
        <v>18</v>
      </c>
      <c r="F23" s="304" t="s">
        <v>19</v>
      </c>
      <c r="G23" s="304" t="s">
        <v>20</v>
      </c>
      <c r="H23" s="304" t="s">
        <v>21</v>
      </c>
      <c r="I23" s="304" t="s">
        <v>22</v>
      </c>
      <c r="J23" s="304" t="s">
        <v>23</v>
      </c>
      <c r="K23" s="304" t="s">
        <v>24</v>
      </c>
      <c r="L23" s="304" t="s">
        <v>25</v>
      </c>
      <c r="M23" s="304" t="s">
        <v>26</v>
      </c>
      <c r="N23" s="304" t="s">
        <v>27</v>
      </c>
      <c r="O23" s="116"/>
      <c r="S23" s="28"/>
      <c r="T23" s="28"/>
      <c r="U23" s="28"/>
      <c r="V23" s="28"/>
    </row>
    <row r="24" spans="2:22" x14ac:dyDescent="0.3">
      <c r="B24" s="91" t="s">
        <v>74</v>
      </c>
      <c r="C24" s="111">
        <f>C19^$C$25</f>
        <v>2.1016830384878924</v>
      </c>
      <c r="D24" s="111">
        <f>D19^$C$25</f>
        <v>1.5670545625227073</v>
      </c>
      <c r="E24" s="111">
        <f t="shared" ref="E24:N24" si="2">E19^$C$25</f>
        <v>1.5806500408376301</v>
      </c>
      <c r="F24" s="111">
        <f t="shared" si="2"/>
        <v>0.93145465437579755</v>
      </c>
      <c r="G24" s="111">
        <f t="shared" si="2"/>
        <v>0.74999324938999357</v>
      </c>
      <c r="H24" s="111">
        <f t="shared" si="2"/>
        <v>0.64500135913766976</v>
      </c>
      <c r="I24" s="111">
        <f t="shared" si="2"/>
        <v>0.28190754515967004</v>
      </c>
      <c r="J24" s="111">
        <f t="shared" si="2"/>
        <v>0.29091191702712443</v>
      </c>
      <c r="K24" s="111">
        <f t="shared" si="2"/>
        <v>0.82654371412590377</v>
      </c>
      <c r="L24" s="111">
        <f t="shared" si="2"/>
        <v>1.159411735824494</v>
      </c>
      <c r="M24" s="111">
        <f t="shared" si="2"/>
        <v>1.2936395607243514</v>
      </c>
      <c r="N24" s="111">
        <f t="shared" si="2"/>
        <v>1.4722489396195193</v>
      </c>
      <c r="O24" s="114"/>
      <c r="S24" s="28"/>
      <c r="T24" s="28"/>
      <c r="U24" s="28"/>
      <c r="V24" s="28"/>
    </row>
    <row r="25" spans="2:22" x14ac:dyDescent="0.3">
      <c r="B25" s="91" t="s">
        <v>75</v>
      </c>
      <c r="C25" s="162">
        <v>2</v>
      </c>
      <c r="D25" s="107"/>
      <c r="E25" s="107"/>
      <c r="F25" s="107"/>
      <c r="G25" s="107"/>
      <c r="H25" s="107"/>
      <c r="I25" s="107"/>
      <c r="J25" s="107"/>
      <c r="K25" s="107"/>
      <c r="L25" s="107"/>
      <c r="M25" s="107"/>
      <c r="N25" s="107"/>
      <c r="O25" s="108"/>
      <c r="S25" s="28"/>
      <c r="T25" s="28"/>
      <c r="U25" s="28"/>
      <c r="V25" s="28"/>
    </row>
    <row r="26" spans="2:22" x14ac:dyDescent="0.3">
      <c r="B26" s="89"/>
      <c r="C26" s="107"/>
      <c r="D26" s="107"/>
      <c r="E26" s="107"/>
      <c r="F26" s="107"/>
      <c r="G26" s="107"/>
      <c r="H26" s="107"/>
      <c r="I26" s="107"/>
      <c r="J26" s="107"/>
      <c r="K26" s="107"/>
      <c r="L26" s="107"/>
      <c r="M26" s="107"/>
      <c r="N26" s="107"/>
      <c r="O26" s="108"/>
      <c r="S26" s="28"/>
      <c r="T26" s="28"/>
      <c r="U26" s="28"/>
      <c r="V26" s="28"/>
    </row>
    <row r="27" spans="2:22" ht="55.95" customHeight="1" x14ac:dyDescent="0.3">
      <c r="B27" s="376" t="s">
        <v>76</v>
      </c>
      <c r="C27" s="376"/>
      <c r="D27" s="376"/>
      <c r="E27" s="376"/>
      <c r="F27" s="376"/>
      <c r="G27" s="376"/>
      <c r="H27" s="376"/>
      <c r="I27" s="376"/>
      <c r="J27" s="376"/>
      <c r="K27" s="376"/>
      <c r="L27" s="376"/>
      <c r="M27" s="376"/>
      <c r="N27" s="376"/>
      <c r="O27" s="376"/>
      <c r="S27" s="28"/>
      <c r="T27" s="28"/>
      <c r="U27" s="28"/>
      <c r="V27" s="28"/>
    </row>
    <row r="28" spans="2:22" ht="14.4" customHeight="1" x14ac:dyDescent="0.3">
      <c r="B28" s="370"/>
      <c r="C28" s="366" t="s">
        <v>67</v>
      </c>
      <c r="D28" s="366"/>
      <c r="E28" s="366"/>
      <c r="F28" s="366"/>
      <c r="G28" s="366"/>
      <c r="H28" s="366"/>
      <c r="I28" s="366"/>
      <c r="J28" s="366"/>
      <c r="K28" s="366"/>
      <c r="L28" s="366"/>
      <c r="M28" s="366"/>
      <c r="N28" s="366"/>
      <c r="O28" s="366"/>
      <c r="S28" s="28"/>
      <c r="T28" s="28"/>
      <c r="U28" s="28"/>
      <c r="V28" s="28"/>
    </row>
    <row r="29" spans="2:22" x14ac:dyDescent="0.3">
      <c r="B29" s="370"/>
      <c r="C29" s="304" t="s">
        <v>16</v>
      </c>
      <c r="D29" s="304" t="s">
        <v>17</v>
      </c>
      <c r="E29" s="304" t="s">
        <v>18</v>
      </c>
      <c r="F29" s="304" t="s">
        <v>19</v>
      </c>
      <c r="G29" s="304" t="s">
        <v>20</v>
      </c>
      <c r="H29" s="304" t="s">
        <v>21</v>
      </c>
      <c r="I29" s="304" t="s">
        <v>22</v>
      </c>
      <c r="J29" s="304" t="s">
        <v>23</v>
      </c>
      <c r="K29" s="304" t="s">
        <v>24</v>
      </c>
      <c r="L29" s="304" t="s">
        <v>25</v>
      </c>
      <c r="M29" s="304" t="s">
        <v>26</v>
      </c>
      <c r="N29" s="304" t="s">
        <v>27</v>
      </c>
      <c r="O29" s="88" t="s">
        <v>66</v>
      </c>
      <c r="S29" s="28"/>
      <c r="T29" s="28"/>
      <c r="U29" s="28"/>
      <c r="V29" s="28"/>
    </row>
    <row r="30" spans="2:22" x14ac:dyDescent="0.3">
      <c r="B30" s="91" t="s">
        <v>77</v>
      </c>
      <c r="C30" s="111">
        <f>C24*$C$33</f>
        <v>3.1525245577318386</v>
      </c>
      <c r="D30" s="111">
        <f t="shared" ref="D30:N30" si="3">D24*$C$33</f>
        <v>2.3505818437840609</v>
      </c>
      <c r="E30" s="111">
        <f t="shared" si="3"/>
        <v>2.3709750612564449</v>
      </c>
      <c r="F30" s="111">
        <f t="shared" si="3"/>
        <v>1.3971819815636963</v>
      </c>
      <c r="G30" s="111">
        <f t="shared" si="3"/>
        <v>1.1249898740849904</v>
      </c>
      <c r="H30" s="111">
        <f t="shared" si="3"/>
        <v>0.96750203870650464</v>
      </c>
      <c r="I30" s="111">
        <f t="shared" si="3"/>
        <v>0.42286131773950508</v>
      </c>
      <c r="J30" s="111">
        <f t="shared" si="3"/>
        <v>0.43636787554068668</v>
      </c>
      <c r="K30" s="111">
        <f t="shared" si="3"/>
        <v>1.2398155711888557</v>
      </c>
      <c r="L30" s="111">
        <f t="shared" si="3"/>
        <v>1.7391176037367408</v>
      </c>
      <c r="M30" s="111">
        <f t="shared" si="3"/>
        <v>1.9404593410865272</v>
      </c>
      <c r="N30" s="111">
        <f t="shared" si="3"/>
        <v>2.2083734094292788</v>
      </c>
      <c r="O30" s="111">
        <f>AVERAGE(C30:N30)</f>
        <v>1.6125625396540941</v>
      </c>
      <c r="S30" s="28"/>
      <c r="T30" s="28"/>
      <c r="U30" s="28"/>
      <c r="V30" s="28"/>
    </row>
    <row r="31" spans="2:22" x14ac:dyDescent="0.3">
      <c r="B31" s="91" t="s">
        <v>78</v>
      </c>
      <c r="C31" s="111">
        <f>C24*$C$34</f>
        <v>6.3050491154636772</v>
      </c>
      <c r="D31" s="111">
        <f t="shared" ref="D31:N31" si="4">D24*$C$34</f>
        <v>4.7011636875681218</v>
      </c>
      <c r="E31" s="111">
        <f t="shared" si="4"/>
        <v>4.7419501225128897</v>
      </c>
      <c r="F31" s="111">
        <f t="shared" si="4"/>
        <v>2.7943639631273927</v>
      </c>
      <c r="G31" s="111">
        <f t="shared" si="4"/>
        <v>2.2499797481699808</v>
      </c>
      <c r="H31" s="111">
        <f t="shared" si="4"/>
        <v>1.9350040774130093</v>
      </c>
      <c r="I31" s="111">
        <f t="shared" si="4"/>
        <v>0.84572263547901017</v>
      </c>
      <c r="J31" s="111">
        <f t="shared" si="4"/>
        <v>0.87273575108137336</v>
      </c>
      <c r="K31" s="111">
        <f t="shared" si="4"/>
        <v>2.4796311423777113</v>
      </c>
      <c r="L31" s="111">
        <f t="shared" si="4"/>
        <v>3.4782352074734817</v>
      </c>
      <c r="M31" s="111">
        <f t="shared" si="4"/>
        <v>3.8809186821730544</v>
      </c>
      <c r="N31" s="111">
        <f t="shared" si="4"/>
        <v>4.4167468188585577</v>
      </c>
      <c r="O31" s="111">
        <f>AVERAGE(C31:N31)</f>
        <v>3.2251250793081883</v>
      </c>
      <c r="S31" s="28"/>
      <c r="T31" s="28"/>
      <c r="U31" s="28"/>
      <c r="V31" s="28"/>
    </row>
    <row r="32" spans="2:22" ht="8.4" customHeight="1" x14ac:dyDescent="0.3">
      <c r="B32" s="91"/>
      <c r="C32" s="113"/>
      <c r="D32" s="113"/>
      <c r="E32" s="113"/>
      <c r="F32" s="113"/>
      <c r="G32" s="113"/>
      <c r="H32" s="113"/>
      <c r="I32" s="113"/>
      <c r="J32" s="113"/>
      <c r="K32" s="113"/>
      <c r="L32" s="113"/>
      <c r="M32" s="113"/>
      <c r="N32" s="113"/>
      <c r="O32" s="113"/>
      <c r="S32" s="28"/>
      <c r="T32" s="28"/>
      <c r="U32" s="28"/>
      <c r="V32" s="28"/>
    </row>
    <row r="33" spans="2:22" x14ac:dyDescent="0.3">
      <c r="B33" s="91" t="s">
        <v>79</v>
      </c>
      <c r="C33" s="122">
        <f>'DG_SK, Trumpal. kainos 2020'!M17</f>
        <v>1.5</v>
      </c>
      <c r="D33" s="107"/>
      <c r="E33" s="107"/>
      <c r="F33" s="107"/>
      <c r="G33" s="107"/>
      <c r="H33" s="107"/>
      <c r="I33" s="107"/>
      <c r="J33" s="107"/>
      <c r="K33" s="107"/>
      <c r="L33" s="107"/>
      <c r="M33" s="107"/>
      <c r="N33" s="107"/>
      <c r="O33" s="108"/>
      <c r="S33" s="28"/>
      <c r="T33" s="28"/>
      <c r="U33" s="28"/>
      <c r="V33" s="28"/>
    </row>
    <row r="34" spans="2:22" x14ac:dyDescent="0.3">
      <c r="B34" s="91" t="s">
        <v>80</v>
      </c>
      <c r="C34" s="122">
        <f>'DG_SK, Trumpal. kainos 2020'!N17</f>
        <v>3</v>
      </c>
      <c r="D34" s="107"/>
      <c r="E34" s="107"/>
      <c r="F34" s="107"/>
      <c r="G34" s="107"/>
      <c r="H34" s="107"/>
      <c r="I34" s="107"/>
      <c r="J34" s="107"/>
      <c r="K34" s="107"/>
      <c r="L34" s="107"/>
      <c r="M34" s="107"/>
      <c r="N34" s="107"/>
      <c r="O34" s="108"/>
      <c r="S34" s="28"/>
      <c r="T34" s="28"/>
      <c r="U34" s="28"/>
      <c r="V34" s="28"/>
    </row>
    <row r="35" spans="2:22" x14ac:dyDescent="0.3">
      <c r="B35" s="89"/>
      <c r="C35" s="107"/>
      <c r="D35" s="107"/>
      <c r="E35" s="107"/>
      <c r="F35" s="107"/>
      <c r="G35" s="107"/>
      <c r="H35" s="107"/>
      <c r="I35" s="107"/>
      <c r="J35" s="107"/>
      <c r="K35" s="107"/>
      <c r="L35" s="107"/>
      <c r="M35" s="107"/>
      <c r="N35" s="107"/>
      <c r="O35" s="108"/>
      <c r="S35" s="28"/>
      <c r="T35" s="28"/>
      <c r="U35" s="28"/>
      <c r="V35" s="28"/>
    </row>
    <row r="36" spans="2:22" ht="162" customHeight="1" x14ac:dyDescent="0.3">
      <c r="B36" s="376" t="s">
        <v>82</v>
      </c>
      <c r="C36" s="376"/>
      <c r="D36" s="376"/>
      <c r="E36" s="376"/>
      <c r="F36" s="376"/>
      <c r="G36" s="376"/>
      <c r="H36" s="376"/>
      <c r="I36" s="376"/>
      <c r="J36" s="376"/>
      <c r="K36" s="376"/>
      <c r="L36" s="376"/>
      <c r="M36" s="376"/>
      <c r="N36" s="376"/>
      <c r="O36" s="109"/>
      <c r="S36" s="28"/>
      <c r="T36" s="28"/>
      <c r="U36" s="28"/>
      <c r="V36" s="28"/>
    </row>
    <row r="37" spans="2:22" ht="14.4" customHeight="1" x14ac:dyDescent="0.3">
      <c r="B37" s="370"/>
      <c r="C37" s="366" t="s">
        <v>67</v>
      </c>
      <c r="D37" s="366"/>
      <c r="E37" s="366"/>
      <c r="F37" s="366"/>
      <c r="G37" s="366"/>
      <c r="H37" s="366"/>
      <c r="I37" s="366"/>
      <c r="J37" s="366"/>
      <c r="K37" s="366"/>
      <c r="L37" s="366"/>
      <c r="M37" s="366"/>
      <c r="N37" s="366"/>
      <c r="O37" s="115"/>
      <c r="S37" s="28"/>
      <c r="T37" s="28"/>
      <c r="U37" s="28"/>
      <c r="V37" s="28"/>
    </row>
    <row r="38" spans="2:22" x14ac:dyDescent="0.3">
      <c r="B38" s="370"/>
      <c r="C38" s="304" t="s">
        <v>16</v>
      </c>
      <c r="D38" s="304" t="s">
        <v>17</v>
      </c>
      <c r="E38" s="304" t="s">
        <v>18</v>
      </c>
      <c r="F38" s="304" t="s">
        <v>19</v>
      </c>
      <c r="G38" s="304" t="s">
        <v>20</v>
      </c>
      <c r="H38" s="304" t="s">
        <v>21</v>
      </c>
      <c r="I38" s="304" t="s">
        <v>22</v>
      </c>
      <c r="J38" s="304" t="s">
        <v>23</v>
      </c>
      <c r="K38" s="304" t="s">
        <v>24</v>
      </c>
      <c r="L38" s="304" t="s">
        <v>25</v>
      </c>
      <c r="M38" s="304" t="s">
        <v>26</v>
      </c>
      <c r="N38" s="304" t="s">
        <v>27</v>
      </c>
      <c r="O38" s="116"/>
      <c r="S38" s="28"/>
      <c r="T38" s="28"/>
      <c r="U38" s="28"/>
      <c r="V38" s="28"/>
    </row>
    <row r="39" spans="2:22" x14ac:dyDescent="0.3">
      <c r="B39" s="91" t="s">
        <v>83</v>
      </c>
      <c r="C39" s="111">
        <f>C24*$C$42</f>
        <v>1.9549781668672999</v>
      </c>
      <c r="D39" s="111">
        <f t="shared" ref="D39:N39" si="5">D24*$C$42</f>
        <v>1.4576686398087091</v>
      </c>
      <c r="E39" s="111">
        <f t="shared" si="5"/>
        <v>1.4703151058966282</v>
      </c>
      <c r="F39" s="111">
        <f t="shared" si="5"/>
        <v>0.86643584183928857</v>
      </c>
      <c r="G39" s="111">
        <f t="shared" si="5"/>
        <v>0.69764108145927073</v>
      </c>
      <c r="H39" s="111">
        <f t="shared" si="5"/>
        <v>0.59997799459860979</v>
      </c>
      <c r="I39" s="111">
        <f t="shared" si="5"/>
        <v>0.26222940651356796</v>
      </c>
      <c r="J39" s="111">
        <f t="shared" si="5"/>
        <v>0.27060524153952537</v>
      </c>
      <c r="K39" s="111">
        <f t="shared" si="5"/>
        <v>0.76884805438603621</v>
      </c>
      <c r="L39" s="111">
        <f t="shared" si="5"/>
        <v>1.0784807168531856</v>
      </c>
      <c r="M39" s="111">
        <f t="shared" si="5"/>
        <v>1.2033389672457411</v>
      </c>
      <c r="N39" s="111">
        <f t="shared" si="5"/>
        <v>1.3694807829921376</v>
      </c>
      <c r="O39" s="114"/>
      <c r="S39" s="28"/>
      <c r="T39" s="28"/>
      <c r="U39" s="28"/>
      <c r="V39" s="28"/>
    </row>
    <row r="40" spans="2:22" x14ac:dyDescent="0.3">
      <c r="B40" s="91" t="s">
        <v>92</v>
      </c>
      <c r="C40" s="111">
        <f>C24*$C$43</f>
        <v>1.9549781668672999</v>
      </c>
      <c r="D40" s="111">
        <f t="shared" ref="D40:N40" si="6">D24*$C$43</f>
        <v>1.4576686398087091</v>
      </c>
      <c r="E40" s="111">
        <f t="shared" si="6"/>
        <v>1.4703151058966282</v>
      </c>
      <c r="F40" s="111">
        <f t="shared" si="6"/>
        <v>0.86643584183928857</v>
      </c>
      <c r="G40" s="111">
        <f t="shared" si="6"/>
        <v>0.69764108145927073</v>
      </c>
      <c r="H40" s="111">
        <f t="shared" si="6"/>
        <v>0.59997799459860979</v>
      </c>
      <c r="I40" s="111">
        <f t="shared" si="6"/>
        <v>0.26222940651356796</v>
      </c>
      <c r="J40" s="111">
        <f t="shared" si="6"/>
        <v>0.27060524153952537</v>
      </c>
      <c r="K40" s="111">
        <f t="shared" si="6"/>
        <v>0.76884805438603621</v>
      </c>
      <c r="L40" s="111">
        <f t="shared" si="6"/>
        <v>1.0784807168531856</v>
      </c>
      <c r="M40" s="111">
        <f t="shared" si="6"/>
        <v>1.2033389672457411</v>
      </c>
      <c r="N40" s="111">
        <f t="shared" si="6"/>
        <v>1.3694807829921376</v>
      </c>
      <c r="O40" s="114"/>
      <c r="S40" s="28"/>
      <c r="T40" s="28"/>
      <c r="U40" s="28"/>
      <c r="V40" s="28"/>
    </row>
    <row r="41" spans="2:22" ht="7.2" customHeight="1" x14ac:dyDescent="0.3">
      <c r="B41" s="91"/>
      <c r="C41" s="113"/>
      <c r="D41" s="113"/>
      <c r="E41" s="113"/>
      <c r="F41" s="113"/>
      <c r="G41" s="113"/>
      <c r="H41" s="113"/>
      <c r="I41" s="113"/>
      <c r="J41" s="113"/>
      <c r="K41" s="113"/>
      <c r="L41" s="113"/>
      <c r="M41" s="113"/>
      <c r="N41" s="113"/>
      <c r="O41" s="114"/>
      <c r="S41" s="28"/>
      <c r="T41" s="28"/>
      <c r="U41" s="28"/>
      <c r="V41" s="28"/>
    </row>
    <row r="42" spans="2:22" x14ac:dyDescent="0.3">
      <c r="B42" s="91" t="s">
        <v>84</v>
      </c>
      <c r="C42" s="111">
        <f>IF(O30&gt;1.5,1.5/O30,IF(O30&lt;1,1/O30,1))</f>
        <v>0.93019648113725895</v>
      </c>
      <c r="D42" s="114"/>
      <c r="E42" s="107"/>
      <c r="F42" s="107"/>
      <c r="G42" s="107"/>
      <c r="H42" s="107"/>
      <c r="I42" s="107"/>
      <c r="J42" s="107"/>
      <c r="K42" s="107"/>
      <c r="L42" s="107"/>
      <c r="M42" s="107"/>
      <c r="N42" s="107"/>
      <c r="O42" s="108"/>
      <c r="S42" s="28"/>
      <c r="T42" s="28"/>
      <c r="U42" s="28"/>
      <c r="V42" s="28"/>
    </row>
    <row r="43" spans="2:22" x14ac:dyDescent="0.3">
      <c r="B43" s="91" t="s">
        <v>85</v>
      </c>
      <c r="C43" s="111">
        <f>IF(O31&gt;3,3/O31,IF(O31&lt;1,1/O31,1))</f>
        <v>0.93019648113725895</v>
      </c>
      <c r="D43" s="114"/>
      <c r="E43" s="107"/>
      <c r="F43" s="107"/>
      <c r="G43" s="107"/>
      <c r="H43" s="107"/>
      <c r="I43" s="107"/>
      <c r="J43" s="107"/>
      <c r="K43" s="107"/>
      <c r="L43" s="107"/>
      <c r="M43" s="107"/>
      <c r="N43" s="107"/>
      <c r="O43" s="108"/>
      <c r="S43" s="28"/>
      <c r="T43" s="28"/>
      <c r="U43" s="28"/>
      <c r="V43" s="28"/>
    </row>
    <row r="44" spans="2:22" x14ac:dyDescent="0.3">
      <c r="B44" s="89"/>
      <c r="C44" s="107"/>
      <c r="D44" s="107"/>
      <c r="E44" s="107"/>
      <c r="F44" s="107"/>
      <c r="G44" s="107"/>
      <c r="H44" s="107"/>
      <c r="I44" s="107"/>
      <c r="J44" s="107"/>
      <c r="K44" s="107"/>
      <c r="L44" s="107"/>
      <c r="M44" s="107"/>
      <c r="N44" s="107"/>
      <c r="O44" s="108"/>
      <c r="S44" s="28"/>
      <c r="T44" s="28"/>
      <c r="U44" s="28"/>
      <c r="V44" s="28"/>
    </row>
    <row r="45" spans="2:22" ht="98.4" customHeight="1" x14ac:dyDescent="0.3">
      <c r="B45" s="376" t="s">
        <v>88</v>
      </c>
      <c r="C45" s="376"/>
      <c r="D45" s="376"/>
      <c r="E45" s="376"/>
      <c r="F45" s="376"/>
      <c r="G45" s="376"/>
      <c r="H45" s="376"/>
      <c r="I45" s="376"/>
      <c r="J45" s="376"/>
      <c r="K45" s="376"/>
      <c r="L45" s="376"/>
      <c r="M45" s="376"/>
      <c r="N45" s="376"/>
      <c r="O45" s="109"/>
      <c r="S45" s="28"/>
      <c r="T45" s="28"/>
      <c r="U45" s="28"/>
      <c r="V45" s="28"/>
    </row>
    <row r="46" spans="2:22" ht="14.4" customHeight="1" x14ac:dyDescent="0.3">
      <c r="B46" s="370"/>
      <c r="C46" s="366" t="s">
        <v>86</v>
      </c>
      <c r="D46" s="366"/>
      <c r="E46" s="366"/>
      <c r="F46" s="366"/>
      <c r="G46" s="115"/>
      <c r="H46" s="115"/>
      <c r="I46" s="115"/>
      <c r="J46" s="115"/>
      <c r="K46" s="115"/>
      <c r="L46" s="115"/>
      <c r="M46" s="115"/>
      <c r="N46" s="115"/>
      <c r="O46" s="115"/>
      <c r="S46" s="28"/>
      <c r="T46" s="28"/>
      <c r="U46" s="28"/>
      <c r="V46" s="28"/>
    </row>
    <row r="47" spans="2:22" x14ac:dyDescent="0.3">
      <c r="B47" s="370"/>
      <c r="C47" s="304" t="s">
        <v>35</v>
      </c>
      <c r="D47" s="304" t="s">
        <v>36</v>
      </c>
      <c r="E47" s="304" t="s">
        <v>37</v>
      </c>
      <c r="F47" s="304" t="s">
        <v>38</v>
      </c>
      <c r="G47" s="116"/>
      <c r="H47" s="116"/>
      <c r="I47" s="116"/>
      <c r="J47" s="116"/>
      <c r="K47" s="116"/>
      <c r="L47" s="116"/>
      <c r="M47" s="116"/>
      <c r="N47" s="116"/>
      <c r="O47" s="116"/>
      <c r="S47" s="28"/>
      <c r="T47" s="28"/>
      <c r="U47" s="28"/>
      <c r="V47" s="28"/>
    </row>
    <row r="48" spans="2:22" x14ac:dyDescent="0.3">
      <c r="B48" s="91" t="s">
        <v>87</v>
      </c>
      <c r="C48" s="111">
        <f>AVERAGE(C39:E39)</f>
        <v>1.6276539708575459</v>
      </c>
      <c r="D48" s="111">
        <f>AVERAGE(F39:H39)</f>
        <v>0.72135163929905632</v>
      </c>
      <c r="E48" s="111">
        <f>AVERAGE(I39:K39)</f>
        <v>0.43389423414637651</v>
      </c>
      <c r="F48" s="111">
        <f>AVERAGE(L39:N39)</f>
        <v>1.2171001556970213</v>
      </c>
      <c r="G48" s="114"/>
      <c r="H48" s="114"/>
      <c r="I48" s="114"/>
      <c r="J48" s="114"/>
      <c r="K48" s="114"/>
      <c r="L48" s="114"/>
      <c r="M48" s="114"/>
      <c r="N48" s="114"/>
      <c r="O48" s="114"/>
      <c r="S48" s="28"/>
      <c r="T48" s="28"/>
      <c r="U48" s="28"/>
      <c r="V48" s="28"/>
    </row>
    <row r="49" spans="2:22" x14ac:dyDescent="0.3">
      <c r="B49" s="89"/>
      <c r="C49" s="107"/>
      <c r="D49" s="107"/>
      <c r="E49" s="107"/>
      <c r="F49" s="107"/>
      <c r="G49" s="107"/>
      <c r="H49" s="107"/>
      <c r="I49" s="107"/>
      <c r="J49" s="107"/>
      <c r="K49" s="107"/>
      <c r="L49" s="107"/>
      <c r="M49" s="107"/>
      <c r="N49" s="107"/>
      <c r="O49" s="108"/>
      <c r="S49" s="28"/>
      <c r="T49" s="28"/>
      <c r="U49" s="28"/>
      <c r="V49" s="28"/>
    </row>
    <row r="50" spans="2:22" ht="29.4" customHeight="1" x14ac:dyDescent="0.3">
      <c r="B50" s="376" t="s">
        <v>89</v>
      </c>
      <c r="C50" s="376"/>
      <c r="D50" s="376"/>
      <c r="E50" s="376"/>
      <c r="F50" s="376"/>
      <c r="G50" s="376"/>
      <c r="H50" s="376"/>
      <c r="I50" s="376"/>
      <c r="J50" s="376"/>
      <c r="K50" s="376"/>
      <c r="L50" s="376"/>
      <c r="M50" s="376"/>
      <c r="N50" s="376"/>
      <c r="O50" s="108"/>
      <c r="S50" s="28"/>
      <c r="T50" s="28"/>
      <c r="U50" s="28"/>
      <c r="V50" s="28"/>
    </row>
    <row r="51" spans="2:22" ht="14.4" customHeight="1" x14ac:dyDescent="0.3">
      <c r="B51" s="370"/>
      <c r="C51" s="363" t="s">
        <v>67</v>
      </c>
      <c r="D51" s="364"/>
      <c r="E51" s="364"/>
      <c r="F51" s="364"/>
      <c r="G51" s="364"/>
      <c r="H51" s="364"/>
      <c r="I51" s="364"/>
      <c r="J51" s="364"/>
      <c r="K51" s="364"/>
      <c r="L51" s="364"/>
      <c r="M51" s="364"/>
      <c r="N51" s="364"/>
      <c r="O51" s="365"/>
      <c r="S51" s="28"/>
      <c r="T51" s="28"/>
      <c r="U51" s="28"/>
      <c r="V51" s="28"/>
    </row>
    <row r="52" spans="2:22" x14ac:dyDescent="0.3">
      <c r="B52" s="370"/>
      <c r="C52" s="304" t="s">
        <v>16</v>
      </c>
      <c r="D52" s="304" t="s">
        <v>17</v>
      </c>
      <c r="E52" s="304" t="s">
        <v>18</v>
      </c>
      <c r="F52" s="304" t="s">
        <v>19</v>
      </c>
      <c r="G52" s="304" t="s">
        <v>20</v>
      </c>
      <c r="H52" s="304" t="s">
        <v>21</v>
      </c>
      <c r="I52" s="304" t="s">
        <v>22</v>
      </c>
      <c r="J52" s="304" t="s">
        <v>23</v>
      </c>
      <c r="K52" s="304" t="s">
        <v>24</v>
      </c>
      <c r="L52" s="304" t="s">
        <v>25</v>
      </c>
      <c r="M52" s="304" t="s">
        <v>26</v>
      </c>
      <c r="N52" s="304" t="s">
        <v>27</v>
      </c>
      <c r="O52" s="90" t="s">
        <v>66</v>
      </c>
      <c r="S52" s="28"/>
      <c r="T52" s="28"/>
      <c r="U52" s="28"/>
      <c r="V52" s="28"/>
    </row>
    <row r="53" spans="2:22" x14ac:dyDescent="0.3">
      <c r="B53" s="91" t="s">
        <v>90</v>
      </c>
      <c r="C53" s="123">
        <f>ROUND(C39,2)</f>
        <v>1.95</v>
      </c>
      <c r="D53" s="123">
        <f t="shared" ref="D53:N53" si="7">ROUND(D39,2)</f>
        <v>1.46</v>
      </c>
      <c r="E53" s="123">
        <f t="shared" si="7"/>
        <v>1.47</v>
      </c>
      <c r="F53" s="123">
        <f t="shared" si="7"/>
        <v>0.87</v>
      </c>
      <c r="G53" s="123">
        <f t="shared" si="7"/>
        <v>0.7</v>
      </c>
      <c r="H53" s="123">
        <f t="shared" si="7"/>
        <v>0.6</v>
      </c>
      <c r="I53" s="123">
        <f t="shared" si="7"/>
        <v>0.26</v>
      </c>
      <c r="J53" s="123">
        <f t="shared" si="7"/>
        <v>0.27</v>
      </c>
      <c r="K53" s="123">
        <f t="shared" si="7"/>
        <v>0.77</v>
      </c>
      <c r="L53" s="123">
        <f t="shared" si="7"/>
        <v>1.08</v>
      </c>
      <c r="M53" s="123">
        <f t="shared" si="7"/>
        <v>1.2</v>
      </c>
      <c r="N53" s="123">
        <f t="shared" si="7"/>
        <v>1.37</v>
      </c>
      <c r="O53" s="123">
        <f>AVERAGE(C53:N53)</f>
        <v>1</v>
      </c>
      <c r="S53" s="28"/>
      <c r="T53" s="28"/>
      <c r="U53" s="28"/>
      <c r="V53" s="28"/>
    </row>
    <row r="54" spans="2:22" x14ac:dyDescent="0.3">
      <c r="B54" s="91" t="s">
        <v>91</v>
      </c>
      <c r="C54" s="123">
        <f>ROUND(C40,2)</f>
        <v>1.95</v>
      </c>
      <c r="D54" s="123">
        <f t="shared" ref="D54:N54" si="8">ROUND(D40,2)</f>
        <v>1.46</v>
      </c>
      <c r="E54" s="123">
        <f t="shared" si="8"/>
        <v>1.47</v>
      </c>
      <c r="F54" s="123">
        <f t="shared" si="8"/>
        <v>0.87</v>
      </c>
      <c r="G54" s="123">
        <f t="shared" si="8"/>
        <v>0.7</v>
      </c>
      <c r="H54" s="123">
        <f t="shared" si="8"/>
        <v>0.6</v>
      </c>
      <c r="I54" s="123">
        <f t="shared" si="8"/>
        <v>0.26</v>
      </c>
      <c r="J54" s="123">
        <f t="shared" si="8"/>
        <v>0.27</v>
      </c>
      <c r="K54" s="123">
        <f t="shared" si="8"/>
        <v>0.77</v>
      </c>
      <c r="L54" s="123">
        <f t="shared" si="8"/>
        <v>1.08</v>
      </c>
      <c r="M54" s="123">
        <f t="shared" si="8"/>
        <v>1.2</v>
      </c>
      <c r="N54" s="123">
        <f t="shared" si="8"/>
        <v>1.37</v>
      </c>
      <c r="O54" s="123">
        <f>AVERAGE(C54:N54)</f>
        <v>1</v>
      </c>
      <c r="S54" s="28"/>
      <c r="T54" s="28"/>
      <c r="U54" s="28"/>
      <c r="V54" s="28"/>
    </row>
    <row r="55" spans="2:22" x14ac:dyDescent="0.3">
      <c r="B55" s="117"/>
      <c r="C55" s="304" t="s">
        <v>35</v>
      </c>
      <c r="D55" s="304" t="s">
        <v>36</v>
      </c>
      <c r="E55" s="304" t="s">
        <v>37</v>
      </c>
      <c r="F55" s="304" t="s">
        <v>38</v>
      </c>
      <c r="G55" s="90" t="s">
        <v>66</v>
      </c>
      <c r="H55" s="116"/>
      <c r="I55" s="116"/>
      <c r="J55" s="116"/>
      <c r="K55" s="116"/>
      <c r="L55" s="116"/>
      <c r="M55" s="116"/>
      <c r="N55" s="116"/>
      <c r="O55" s="108"/>
      <c r="S55" s="28"/>
      <c r="T55" s="28"/>
      <c r="U55" s="28"/>
      <c r="V55" s="28"/>
    </row>
    <row r="56" spans="2:22" x14ac:dyDescent="0.3">
      <c r="B56" s="91" t="s">
        <v>93</v>
      </c>
      <c r="C56" s="123">
        <f>ROUND(C48,2)</f>
        <v>1.63</v>
      </c>
      <c r="D56" s="123">
        <f t="shared" ref="D56:F56" si="9">ROUND(D48,2)</f>
        <v>0.72</v>
      </c>
      <c r="E56" s="123">
        <f t="shared" si="9"/>
        <v>0.43</v>
      </c>
      <c r="F56" s="123">
        <f t="shared" si="9"/>
        <v>1.22</v>
      </c>
      <c r="G56" s="123">
        <f>AVERAGE(C56:F56)</f>
        <v>1</v>
      </c>
      <c r="H56" s="114"/>
      <c r="I56" s="114"/>
      <c r="J56" s="114"/>
      <c r="K56" s="114"/>
      <c r="L56" s="114"/>
      <c r="M56" s="114"/>
      <c r="N56" s="114"/>
      <c r="O56" s="108"/>
      <c r="S56" s="28"/>
      <c r="T56" s="28"/>
      <c r="U56" s="28"/>
      <c r="V56" s="28"/>
    </row>
    <row r="57" spans="2:22" x14ac:dyDescent="0.3">
      <c r="B57" s="89"/>
      <c r="C57" s="107"/>
      <c r="D57" s="107"/>
      <c r="E57" s="107"/>
      <c r="F57" s="107"/>
      <c r="G57" s="107"/>
      <c r="H57" s="107"/>
      <c r="I57" s="107"/>
      <c r="J57" s="107"/>
      <c r="K57" s="107"/>
      <c r="L57" s="107"/>
      <c r="M57" s="107"/>
      <c r="N57" s="107"/>
      <c r="O57" s="108"/>
      <c r="S57" s="28"/>
      <c r="T57" s="28"/>
      <c r="U57" s="28"/>
      <c r="V57" s="28"/>
    </row>
    <row r="58" spans="2:22" x14ac:dyDescent="0.3">
      <c r="C58" s="139"/>
      <c r="D58" s="118"/>
      <c r="E58" s="118"/>
      <c r="F58" s="118"/>
      <c r="S58" s="82"/>
    </row>
    <row r="59" spans="2:22" x14ac:dyDescent="0.3">
      <c r="B59" s="140"/>
      <c r="C59" s="138"/>
    </row>
  </sheetData>
  <mergeCells count="24">
    <mergeCell ref="B7:B8"/>
    <mergeCell ref="B6:O6"/>
    <mergeCell ref="C51:O51"/>
    <mergeCell ref="C7:O7"/>
    <mergeCell ref="B11:O11"/>
    <mergeCell ref="B12:B13"/>
    <mergeCell ref="C12:O12"/>
    <mergeCell ref="B22:B23"/>
    <mergeCell ref="B27:O27"/>
    <mergeCell ref="B50:N50"/>
    <mergeCell ref="B51:B52"/>
    <mergeCell ref="B16:N16"/>
    <mergeCell ref="B21:N21"/>
    <mergeCell ref="C37:N37"/>
    <mergeCell ref="B36:N36"/>
    <mergeCell ref="B46:B47"/>
    <mergeCell ref="C17:N17"/>
    <mergeCell ref="C22:N22"/>
    <mergeCell ref="B17:B18"/>
    <mergeCell ref="B45:N45"/>
    <mergeCell ref="C46:F46"/>
    <mergeCell ref="B28:B29"/>
    <mergeCell ref="C28:O28"/>
    <mergeCell ref="B37:B38"/>
  </mergeCells>
  <dataValidations count="2">
    <dataValidation operator="greaterThan" allowBlank="1" showInputMessage="1" showErrorMessage="1" sqref="C9:N9"/>
    <dataValidation type="decimal" allowBlank="1" showInputMessage="1" showErrorMessage="1" errorTitle="Invalid data" error="Values between 0 and 2 must be entered." sqref="C25">
      <formula1>0</formula1>
      <formula2>2</formula2>
    </dataValidation>
  </dataValidations>
  <pageMargins left="0.7" right="0.7" top="0.75" bottom="0.75" header="0.3" footer="0.3"/>
  <pageSetup paperSize="9" scale="3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58"/>
  <sheetViews>
    <sheetView showGridLines="0" zoomScale="80" zoomScaleNormal="80" workbookViewId="0">
      <selection activeCell="B104" sqref="B104"/>
    </sheetView>
  </sheetViews>
  <sheetFormatPr defaultRowHeight="14.4" x14ac:dyDescent="0.3"/>
  <cols>
    <col min="1" max="1" width="2.109375" customWidth="1"/>
    <col min="2" max="2" width="42.109375" customWidth="1"/>
    <col min="3" max="14" width="8.6640625" customWidth="1"/>
    <col min="15" max="15" width="9.6640625" customWidth="1"/>
    <col min="16" max="30" width="6.6640625" customWidth="1"/>
  </cols>
  <sheetData>
    <row r="1" spans="2:23" ht="25.2" customHeight="1" x14ac:dyDescent="0.3">
      <c r="B1" s="142" t="s">
        <v>62</v>
      </c>
      <c r="C1" s="142"/>
      <c r="D1" s="142"/>
      <c r="E1" s="142"/>
      <c r="F1" s="142"/>
      <c r="G1" s="142"/>
      <c r="H1" s="142"/>
      <c r="I1" s="142"/>
      <c r="J1" s="142"/>
      <c r="K1" s="142"/>
      <c r="L1" s="142"/>
      <c r="M1" s="142"/>
      <c r="N1" s="142"/>
      <c r="O1" s="142"/>
      <c r="P1" s="142"/>
      <c r="Q1" s="142"/>
      <c r="R1" s="142"/>
      <c r="S1" s="142"/>
      <c r="T1" s="142"/>
      <c r="U1" s="142"/>
    </row>
    <row r="2" spans="2:23" ht="15.6" x14ac:dyDescent="0.3">
      <c r="B2" s="23" t="s">
        <v>81</v>
      </c>
      <c r="C2" s="23"/>
      <c r="D2" s="23"/>
      <c r="E2" s="23"/>
      <c r="F2" s="23"/>
      <c r="G2" s="23"/>
      <c r="H2" s="23"/>
      <c r="I2" s="23"/>
      <c r="J2" s="23"/>
      <c r="K2" s="23"/>
      <c r="L2" s="23"/>
      <c r="M2" s="23"/>
      <c r="N2" s="23"/>
      <c r="O2" s="23"/>
      <c r="P2" s="23"/>
      <c r="Q2" s="23"/>
      <c r="R2" s="23"/>
      <c r="S2" s="23"/>
      <c r="T2" s="23"/>
      <c r="U2" s="23"/>
      <c r="V2" s="141"/>
    </row>
    <row r="3" spans="2:23" ht="14.4" customHeight="1" x14ac:dyDescent="0.3">
      <c r="B3" s="24" t="s">
        <v>7</v>
      </c>
      <c r="C3" s="4"/>
      <c r="D3" s="4"/>
      <c r="E3" s="4"/>
      <c r="F3" s="4"/>
      <c r="G3" s="4"/>
      <c r="H3" s="4"/>
      <c r="I3" s="4"/>
      <c r="J3" s="4"/>
      <c r="K3" s="4"/>
      <c r="L3" s="4"/>
      <c r="M3" s="4"/>
      <c r="N3" s="4"/>
      <c r="O3" s="4"/>
      <c r="P3" s="4"/>
      <c r="Q3" s="4"/>
      <c r="R3" s="4"/>
      <c r="S3" s="27"/>
      <c r="T3" s="27"/>
      <c r="U3" s="27"/>
      <c r="V3" s="27"/>
    </row>
    <row r="4" spans="2:23" x14ac:dyDescent="0.3">
      <c r="B4" s="213" t="s">
        <v>56</v>
      </c>
      <c r="C4" s="3"/>
      <c r="D4" s="3"/>
      <c r="E4" s="3"/>
      <c r="F4" s="3"/>
    </row>
    <row r="5" spans="2:23" x14ac:dyDescent="0.3">
      <c r="B5" s="10"/>
      <c r="C5" s="3"/>
      <c r="D5" s="3"/>
      <c r="E5" s="3"/>
      <c r="F5" s="3"/>
    </row>
    <row r="6" spans="2:23" ht="41.4" customHeight="1" x14ac:dyDescent="0.3">
      <c r="B6" s="376" t="s">
        <v>68</v>
      </c>
      <c r="C6" s="376"/>
      <c r="D6" s="376"/>
      <c r="E6" s="376"/>
      <c r="F6" s="376"/>
      <c r="G6" s="376"/>
      <c r="H6" s="376"/>
      <c r="I6" s="376"/>
      <c r="J6" s="376"/>
      <c r="K6" s="376"/>
      <c r="L6" s="376"/>
      <c r="M6" s="376"/>
      <c r="N6" s="376"/>
      <c r="O6" s="376"/>
      <c r="P6" s="109"/>
      <c r="Q6" s="109"/>
      <c r="R6" s="109"/>
      <c r="W6" s="8"/>
    </row>
    <row r="7" spans="2:23" ht="14.4" customHeight="1" x14ac:dyDescent="0.3">
      <c r="B7" s="370"/>
      <c r="C7" s="366" t="s">
        <v>65</v>
      </c>
      <c r="D7" s="366"/>
      <c r="E7" s="366"/>
      <c r="F7" s="366"/>
      <c r="G7" s="366"/>
      <c r="H7" s="366"/>
      <c r="I7" s="366"/>
      <c r="J7" s="366"/>
      <c r="K7" s="366"/>
      <c r="L7" s="366"/>
      <c r="M7" s="366"/>
      <c r="N7" s="366"/>
      <c r="O7" s="366"/>
      <c r="P7" s="100"/>
      <c r="Q7" s="100"/>
      <c r="R7" s="100"/>
      <c r="S7" s="95"/>
      <c r="T7" s="95"/>
      <c r="U7" s="95"/>
      <c r="V7" s="95"/>
      <c r="W7" s="8"/>
    </row>
    <row r="8" spans="2:23" x14ac:dyDescent="0.3">
      <c r="B8" s="370"/>
      <c r="C8" s="304" t="s">
        <v>16</v>
      </c>
      <c r="D8" s="304" t="s">
        <v>17</v>
      </c>
      <c r="E8" s="304" t="s">
        <v>18</v>
      </c>
      <c r="F8" s="304" t="s">
        <v>19</v>
      </c>
      <c r="G8" s="304" t="s">
        <v>20</v>
      </c>
      <c r="H8" s="304" t="s">
        <v>21</v>
      </c>
      <c r="I8" s="304" t="s">
        <v>22</v>
      </c>
      <c r="J8" s="304" t="s">
        <v>23</v>
      </c>
      <c r="K8" s="304" t="s">
        <v>24</v>
      </c>
      <c r="L8" s="304" t="s">
        <v>25</v>
      </c>
      <c r="M8" s="304" t="s">
        <v>26</v>
      </c>
      <c r="N8" s="304" t="s">
        <v>27</v>
      </c>
      <c r="O8" s="304" t="s">
        <v>64</v>
      </c>
      <c r="P8" s="110"/>
      <c r="Q8" s="110"/>
      <c r="R8" s="110"/>
      <c r="S8" s="28"/>
      <c r="T8" s="28"/>
      <c r="U8" s="28"/>
      <c r="V8" s="28"/>
    </row>
    <row r="9" spans="2:23" x14ac:dyDescent="0.3">
      <c r="B9" s="91" t="s">
        <v>63</v>
      </c>
      <c r="C9" s="161">
        <v>3018156.1039999998</v>
      </c>
      <c r="D9" s="161">
        <v>2851544.7279999997</v>
      </c>
      <c r="E9" s="161">
        <v>3087778.8119999999</v>
      </c>
      <c r="F9" s="161">
        <v>2034297.7419999996</v>
      </c>
      <c r="G9" s="161">
        <v>1817576.2040000001</v>
      </c>
      <c r="H9" s="161">
        <v>1915633.8319999997</v>
      </c>
      <c r="I9" s="161">
        <v>1548964.4829999998</v>
      </c>
      <c r="J9" s="161">
        <v>1937946.469</v>
      </c>
      <c r="K9" s="161">
        <v>2166942.5719999997</v>
      </c>
      <c r="L9" s="161">
        <v>2436310.659</v>
      </c>
      <c r="M9" s="161">
        <v>2523412.1139999996</v>
      </c>
      <c r="N9" s="161">
        <v>2493589.0240000002</v>
      </c>
      <c r="O9" s="112">
        <f>SUM(C9:N9)</f>
        <v>27832152.742999997</v>
      </c>
      <c r="S9" s="28"/>
      <c r="T9" s="28"/>
      <c r="U9" s="28"/>
      <c r="V9" s="28"/>
    </row>
    <row r="10" spans="2:23" x14ac:dyDescent="0.3">
      <c r="B10" s="89"/>
      <c r="C10" s="107"/>
      <c r="D10" s="107"/>
      <c r="E10" s="107"/>
      <c r="F10" s="107"/>
      <c r="G10" s="107"/>
      <c r="H10" s="107"/>
      <c r="I10" s="107"/>
      <c r="J10" s="107"/>
      <c r="K10" s="107"/>
      <c r="L10" s="107"/>
      <c r="M10" s="107"/>
      <c r="N10" s="107"/>
      <c r="O10" s="108"/>
      <c r="S10" s="28"/>
      <c r="T10" s="28"/>
      <c r="U10" s="28"/>
      <c r="V10" s="28"/>
    </row>
    <row r="11" spans="2:23" ht="40.200000000000003" customHeight="1" x14ac:dyDescent="0.3">
      <c r="B11" s="376" t="s">
        <v>69</v>
      </c>
      <c r="C11" s="376"/>
      <c r="D11" s="376"/>
      <c r="E11" s="376"/>
      <c r="F11" s="376"/>
      <c r="G11" s="376"/>
      <c r="H11" s="376"/>
      <c r="I11" s="376"/>
      <c r="J11" s="376"/>
      <c r="K11" s="376"/>
      <c r="L11" s="376"/>
      <c r="M11" s="376"/>
      <c r="N11" s="376"/>
      <c r="O11" s="376"/>
      <c r="S11" s="28"/>
      <c r="T11" s="28"/>
      <c r="U11" s="28"/>
      <c r="V11" s="28"/>
    </row>
    <row r="12" spans="2:23" ht="14.4" customHeight="1" x14ac:dyDescent="0.3">
      <c r="B12" s="370"/>
      <c r="C12" s="366" t="s">
        <v>67</v>
      </c>
      <c r="D12" s="366"/>
      <c r="E12" s="366"/>
      <c r="F12" s="366"/>
      <c r="G12" s="366"/>
      <c r="H12" s="366"/>
      <c r="I12" s="366"/>
      <c r="J12" s="366"/>
      <c r="K12" s="366"/>
      <c r="L12" s="366"/>
      <c r="M12" s="366"/>
      <c r="N12" s="366"/>
      <c r="O12" s="366"/>
      <c r="S12" s="28"/>
      <c r="T12" s="28"/>
      <c r="U12" s="28"/>
      <c r="V12" s="28"/>
    </row>
    <row r="13" spans="2:23" x14ac:dyDescent="0.3">
      <c r="B13" s="370"/>
      <c r="C13" s="304" t="s">
        <v>16</v>
      </c>
      <c r="D13" s="304" t="s">
        <v>17</v>
      </c>
      <c r="E13" s="304" t="s">
        <v>18</v>
      </c>
      <c r="F13" s="304" t="s">
        <v>19</v>
      </c>
      <c r="G13" s="304" t="s">
        <v>20</v>
      </c>
      <c r="H13" s="304" t="s">
        <v>21</v>
      </c>
      <c r="I13" s="304" t="s">
        <v>22</v>
      </c>
      <c r="J13" s="304" t="s">
        <v>23</v>
      </c>
      <c r="K13" s="304" t="s">
        <v>24</v>
      </c>
      <c r="L13" s="304" t="s">
        <v>25</v>
      </c>
      <c r="M13" s="304" t="s">
        <v>26</v>
      </c>
      <c r="N13" s="304" t="s">
        <v>27</v>
      </c>
      <c r="O13" s="304" t="s">
        <v>64</v>
      </c>
      <c r="S13" s="28"/>
      <c r="T13" s="28"/>
      <c r="U13" s="28"/>
      <c r="V13" s="28"/>
    </row>
    <row r="14" spans="2:23" x14ac:dyDescent="0.3">
      <c r="B14" s="91" t="s">
        <v>72</v>
      </c>
      <c r="C14" s="111">
        <f>C9/$O$9</f>
        <v>0.10844134594508108</v>
      </c>
      <c r="D14" s="111">
        <f t="shared" ref="D14:N14" si="0">D9/$O$9</f>
        <v>0.1024550545669589</v>
      </c>
      <c r="E14" s="111">
        <f t="shared" si="0"/>
        <v>0.110942866709317</v>
      </c>
      <c r="F14" s="111">
        <f t="shared" si="0"/>
        <v>7.3091641914463171E-2</v>
      </c>
      <c r="G14" s="111">
        <f t="shared" si="0"/>
        <v>6.5304909066264544E-2</v>
      </c>
      <c r="H14" s="111">
        <f t="shared" si="0"/>
        <v>6.8828087057757198E-2</v>
      </c>
      <c r="I14" s="111">
        <f t="shared" si="0"/>
        <v>5.5653779184924042E-2</v>
      </c>
      <c r="J14" s="111">
        <f t="shared" si="0"/>
        <v>6.9629772691133587E-2</v>
      </c>
      <c r="K14" s="111">
        <f t="shared" si="0"/>
        <v>7.7857526581194936E-2</v>
      </c>
      <c r="L14" s="111">
        <f t="shared" si="0"/>
        <v>8.7535832441590453E-2</v>
      </c>
      <c r="M14" s="111">
        <f t="shared" si="0"/>
        <v>9.0665358777705665E-2</v>
      </c>
      <c r="N14" s="111">
        <f t="shared" si="0"/>
        <v>8.9593825063609467E-2</v>
      </c>
      <c r="O14" s="111">
        <f>SUM(C14:N14)</f>
        <v>1</v>
      </c>
      <c r="S14" s="28"/>
      <c r="T14" s="28"/>
      <c r="U14" s="28"/>
      <c r="V14" s="28"/>
    </row>
    <row r="15" spans="2:23" x14ac:dyDescent="0.3">
      <c r="B15" s="89"/>
      <c r="C15" s="107"/>
      <c r="D15" s="107"/>
      <c r="E15" s="114"/>
      <c r="F15" s="114"/>
      <c r="G15" s="107"/>
      <c r="H15" s="107"/>
      <c r="I15" s="107"/>
      <c r="J15" s="107"/>
      <c r="K15" s="107"/>
      <c r="L15" s="107"/>
      <c r="M15" s="107"/>
      <c r="N15" s="107"/>
      <c r="O15" s="108"/>
      <c r="S15" s="28"/>
      <c r="T15" s="28"/>
      <c r="U15" s="28"/>
      <c r="V15" s="28"/>
    </row>
    <row r="16" spans="2:23" ht="41.4" customHeight="1" x14ac:dyDescent="0.3">
      <c r="B16" s="376" t="s">
        <v>70</v>
      </c>
      <c r="C16" s="376"/>
      <c r="D16" s="376"/>
      <c r="E16" s="376"/>
      <c r="F16" s="376"/>
      <c r="G16" s="376"/>
      <c r="H16" s="376"/>
      <c r="I16" s="376"/>
      <c r="J16" s="376"/>
      <c r="K16" s="376"/>
      <c r="L16" s="376"/>
      <c r="M16" s="376"/>
      <c r="N16" s="376"/>
      <c r="O16" s="109"/>
      <c r="S16" s="28"/>
      <c r="T16" s="28"/>
      <c r="U16" s="28"/>
      <c r="V16" s="28"/>
    </row>
    <row r="17" spans="2:22" ht="14.4" customHeight="1" x14ac:dyDescent="0.3">
      <c r="B17" s="370"/>
      <c r="C17" s="366" t="s">
        <v>67</v>
      </c>
      <c r="D17" s="366"/>
      <c r="E17" s="366"/>
      <c r="F17" s="366"/>
      <c r="G17" s="366"/>
      <c r="H17" s="366"/>
      <c r="I17" s="366"/>
      <c r="J17" s="366"/>
      <c r="K17" s="366"/>
      <c r="L17" s="366"/>
      <c r="M17" s="366"/>
      <c r="N17" s="366"/>
      <c r="O17" s="115"/>
      <c r="S17" s="28"/>
      <c r="T17" s="28"/>
      <c r="U17" s="28"/>
      <c r="V17" s="28"/>
    </row>
    <row r="18" spans="2:22" x14ac:dyDescent="0.3">
      <c r="B18" s="370"/>
      <c r="C18" s="304" t="s">
        <v>16</v>
      </c>
      <c r="D18" s="304" t="s">
        <v>17</v>
      </c>
      <c r="E18" s="304" t="s">
        <v>18</v>
      </c>
      <c r="F18" s="304" t="s">
        <v>19</v>
      </c>
      <c r="G18" s="304" t="s">
        <v>20</v>
      </c>
      <c r="H18" s="304" t="s">
        <v>21</v>
      </c>
      <c r="I18" s="304" t="s">
        <v>22</v>
      </c>
      <c r="J18" s="304" t="s">
        <v>23</v>
      </c>
      <c r="K18" s="304" t="s">
        <v>24</v>
      </c>
      <c r="L18" s="304" t="s">
        <v>25</v>
      </c>
      <c r="M18" s="304" t="s">
        <v>26</v>
      </c>
      <c r="N18" s="304" t="s">
        <v>27</v>
      </c>
      <c r="O18" s="116"/>
      <c r="S18" s="28"/>
      <c r="T18" s="28"/>
      <c r="U18" s="28"/>
      <c r="V18" s="28"/>
    </row>
    <row r="19" spans="2:22" x14ac:dyDescent="0.3">
      <c r="B19" s="91" t="s">
        <v>73</v>
      </c>
      <c r="C19" s="111">
        <f>IF(C14&gt;0,C14*12,MIN(0.1,SMALL($C$14:$N$14,COUNTIF($C$14:$N$14,0)+1))*12)</f>
        <v>1.3012961513409729</v>
      </c>
      <c r="D19" s="111">
        <f t="shared" ref="D19:N19" si="1">IF(D14&gt;0,D14*12,MIN(0.1,SMALL($C$14:$N$14,COUNTIF($C$14:$N$14,0)+1))*12)</f>
        <v>1.2294606548035067</v>
      </c>
      <c r="E19" s="111">
        <f t="shared" si="1"/>
        <v>1.3313144005118041</v>
      </c>
      <c r="F19" s="111">
        <f t="shared" si="1"/>
        <v>0.8770997029735581</v>
      </c>
      <c r="G19" s="111">
        <f t="shared" si="1"/>
        <v>0.78365890879517452</v>
      </c>
      <c r="H19" s="111">
        <f t="shared" si="1"/>
        <v>0.82593704469308638</v>
      </c>
      <c r="I19" s="111">
        <f t="shared" si="1"/>
        <v>0.66784535021908853</v>
      </c>
      <c r="J19" s="111">
        <f t="shared" si="1"/>
        <v>0.8355572722936031</v>
      </c>
      <c r="K19" s="111">
        <f t="shared" si="1"/>
        <v>0.93429031897433923</v>
      </c>
      <c r="L19" s="111">
        <f t="shared" si="1"/>
        <v>1.0504299892990854</v>
      </c>
      <c r="M19" s="111">
        <f t="shared" si="1"/>
        <v>1.087984305332468</v>
      </c>
      <c r="N19" s="111">
        <f t="shared" si="1"/>
        <v>1.0751259007633136</v>
      </c>
      <c r="O19" s="114"/>
      <c r="Q19" s="120"/>
      <c r="R19" s="110"/>
      <c r="S19" s="58"/>
      <c r="T19" s="28"/>
      <c r="U19" s="28"/>
      <c r="V19" s="28"/>
    </row>
    <row r="20" spans="2:22" x14ac:dyDescent="0.3">
      <c r="B20" s="89"/>
      <c r="C20" s="119"/>
      <c r="D20" s="107"/>
      <c r="E20" s="107"/>
      <c r="F20" s="107"/>
      <c r="G20" s="107"/>
      <c r="H20" s="107"/>
      <c r="I20" s="107"/>
      <c r="J20" s="107"/>
      <c r="K20" s="107"/>
      <c r="L20" s="107"/>
      <c r="M20" s="107"/>
      <c r="N20" s="107"/>
      <c r="O20" s="108"/>
      <c r="S20" s="28"/>
      <c r="T20" s="28"/>
      <c r="U20" s="28"/>
      <c r="V20" s="28"/>
    </row>
    <row r="21" spans="2:22" ht="43.2" customHeight="1" x14ac:dyDescent="0.3">
      <c r="B21" s="376" t="s">
        <v>71</v>
      </c>
      <c r="C21" s="376"/>
      <c r="D21" s="376"/>
      <c r="E21" s="376"/>
      <c r="F21" s="376"/>
      <c r="G21" s="376"/>
      <c r="H21" s="376"/>
      <c r="I21" s="376"/>
      <c r="J21" s="376"/>
      <c r="K21" s="376"/>
      <c r="L21" s="376"/>
      <c r="M21" s="376"/>
      <c r="N21" s="376"/>
      <c r="O21" s="109"/>
      <c r="S21" s="28"/>
      <c r="T21" s="28"/>
      <c r="U21" s="28"/>
      <c r="V21" s="28"/>
    </row>
    <row r="22" spans="2:22" ht="14.4" customHeight="1" x14ac:dyDescent="0.3">
      <c r="B22" s="370"/>
      <c r="C22" s="366" t="s">
        <v>67</v>
      </c>
      <c r="D22" s="366"/>
      <c r="E22" s="366"/>
      <c r="F22" s="366"/>
      <c r="G22" s="366"/>
      <c r="H22" s="366"/>
      <c r="I22" s="366"/>
      <c r="J22" s="366"/>
      <c r="K22" s="366"/>
      <c r="L22" s="366"/>
      <c r="M22" s="366"/>
      <c r="N22" s="366"/>
      <c r="O22" s="115"/>
      <c r="S22" s="28"/>
      <c r="T22" s="28"/>
      <c r="U22" s="28"/>
      <c r="V22" s="28"/>
    </row>
    <row r="23" spans="2:22" x14ac:dyDescent="0.3">
      <c r="B23" s="370"/>
      <c r="C23" s="304" t="s">
        <v>16</v>
      </c>
      <c r="D23" s="304" t="s">
        <v>17</v>
      </c>
      <c r="E23" s="304" t="s">
        <v>18</v>
      </c>
      <c r="F23" s="304" t="s">
        <v>19</v>
      </c>
      <c r="G23" s="304" t="s">
        <v>20</v>
      </c>
      <c r="H23" s="304" t="s">
        <v>21</v>
      </c>
      <c r="I23" s="304" t="s">
        <v>22</v>
      </c>
      <c r="J23" s="304" t="s">
        <v>23</v>
      </c>
      <c r="K23" s="304" t="s">
        <v>24</v>
      </c>
      <c r="L23" s="304" t="s">
        <v>25</v>
      </c>
      <c r="M23" s="304" t="s">
        <v>26</v>
      </c>
      <c r="N23" s="304" t="s">
        <v>27</v>
      </c>
      <c r="O23" s="116"/>
      <c r="S23" s="28"/>
      <c r="T23" s="28"/>
      <c r="U23" s="28"/>
      <c r="V23" s="28"/>
    </row>
    <row r="24" spans="2:22" x14ac:dyDescent="0.3">
      <c r="B24" s="91" t="s">
        <v>74</v>
      </c>
      <c r="C24" s="111">
        <f>C19^$C$25</f>
        <v>1.6933716734948281</v>
      </c>
      <c r="D24" s="111">
        <f t="shared" ref="D24:N24" si="2">D19^$C$25</f>
        <v>1.5115735017098675</v>
      </c>
      <c r="E24" s="111">
        <f t="shared" si="2"/>
        <v>1.7723980330101041</v>
      </c>
      <c r="F24" s="111">
        <f t="shared" si="2"/>
        <v>0.76930388895630386</v>
      </c>
      <c r="G24" s="111">
        <f t="shared" si="2"/>
        <v>0.61412128533404364</v>
      </c>
      <c r="H24" s="111">
        <f t="shared" si="2"/>
        <v>0.6821720017963494</v>
      </c>
      <c r="I24" s="111">
        <f t="shared" si="2"/>
        <v>0.44601741180925703</v>
      </c>
      <c r="J24" s="111">
        <f t="shared" si="2"/>
        <v>0.69815595528272645</v>
      </c>
      <c r="K24" s="111">
        <f t="shared" si="2"/>
        <v>0.87289840012917252</v>
      </c>
      <c r="L24" s="111">
        <f t="shared" si="2"/>
        <v>1.1034031624188767</v>
      </c>
      <c r="M24" s="111">
        <f t="shared" si="2"/>
        <v>1.183709848649773</v>
      </c>
      <c r="N24" s="111">
        <f t="shared" si="2"/>
        <v>1.1558957024921264</v>
      </c>
      <c r="O24" s="114"/>
      <c r="S24" s="28"/>
      <c r="T24" s="28"/>
      <c r="U24" s="28"/>
      <c r="V24" s="28"/>
    </row>
    <row r="25" spans="2:22" x14ac:dyDescent="0.3">
      <c r="B25" s="91" t="s">
        <v>75</v>
      </c>
      <c r="C25" s="162">
        <v>2</v>
      </c>
      <c r="D25" s="107"/>
      <c r="E25" s="107"/>
      <c r="F25" s="107"/>
      <c r="G25" s="107"/>
      <c r="H25" s="107"/>
      <c r="I25" s="107"/>
      <c r="J25" s="107"/>
      <c r="K25" s="107"/>
      <c r="L25" s="107"/>
      <c r="M25" s="107"/>
      <c r="N25" s="107"/>
      <c r="O25" s="108"/>
      <c r="S25" s="28"/>
      <c r="T25" s="28"/>
      <c r="U25" s="28"/>
      <c r="V25" s="28"/>
    </row>
    <row r="26" spans="2:22" x14ac:dyDescent="0.3">
      <c r="B26" s="89"/>
      <c r="C26" s="107"/>
      <c r="D26" s="107"/>
      <c r="E26" s="107"/>
      <c r="F26" s="107"/>
      <c r="G26" s="107"/>
      <c r="H26" s="107"/>
      <c r="I26" s="107"/>
      <c r="J26" s="107"/>
      <c r="K26" s="107"/>
      <c r="L26" s="107"/>
      <c r="M26" s="107"/>
      <c r="N26" s="107"/>
      <c r="O26" s="108"/>
      <c r="S26" s="28"/>
      <c r="T26" s="28"/>
      <c r="U26" s="28"/>
      <c r="V26" s="28"/>
    </row>
    <row r="27" spans="2:22" ht="55.95" customHeight="1" x14ac:dyDescent="0.3">
      <c r="B27" s="376" t="s">
        <v>76</v>
      </c>
      <c r="C27" s="376"/>
      <c r="D27" s="376"/>
      <c r="E27" s="376"/>
      <c r="F27" s="376"/>
      <c r="G27" s="376"/>
      <c r="H27" s="376"/>
      <c r="I27" s="376"/>
      <c r="J27" s="376"/>
      <c r="K27" s="376"/>
      <c r="L27" s="376"/>
      <c r="M27" s="376"/>
      <c r="N27" s="376"/>
      <c r="O27" s="376"/>
      <c r="S27" s="28"/>
      <c r="T27" s="28"/>
      <c r="U27" s="28"/>
      <c r="V27" s="28"/>
    </row>
    <row r="28" spans="2:22" ht="14.4" customHeight="1" x14ac:dyDescent="0.3">
      <c r="B28" s="370"/>
      <c r="C28" s="366" t="s">
        <v>67</v>
      </c>
      <c r="D28" s="366"/>
      <c r="E28" s="366"/>
      <c r="F28" s="366"/>
      <c r="G28" s="366"/>
      <c r="H28" s="366"/>
      <c r="I28" s="366"/>
      <c r="J28" s="366"/>
      <c r="K28" s="366"/>
      <c r="L28" s="366"/>
      <c r="M28" s="366"/>
      <c r="N28" s="366"/>
      <c r="O28" s="366"/>
      <c r="S28" s="28"/>
      <c r="T28" s="28"/>
      <c r="U28" s="28"/>
      <c r="V28" s="28"/>
    </row>
    <row r="29" spans="2:22" x14ac:dyDescent="0.3">
      <c r="B29" s="370"/>
      <c r="C29" s="304" t="s">
        <v>16</v>
      </c>
      <c r="D29" s="304" t="s">
        <v>17</v>
      </c>
      <c r="E29" s="304" t="s">
        <v>18</v>
      </c>
      <c r="F29" s="304" t="s">
        <v>19</v>
      </c>
      <c r="G29" s="304" t="s">
        <v>20</v>
      </c>
      <c r="H29" s="304" t="s">
        <v>21</v>
      </c>
      <c r="I29" s="304" t="s">
        <v>22</v>
      </c>
      <c r="J29" s="304" t="s">
        <v>23</v>
      </c>
      <c r="K29" s="304" t="s">
        <v>24</v>
      </c>
      <c r="L29" s="304" t="s">
        <v>25</v>
      </c>
      <c r="M29" s="304" t="s">
        <v>26</v>
      </c>
      <c r="N29" s="304" t="s">
        <v>27</v>
      </c>
      <c r="O29" s="143" t="s">
        <v>66</v>
      </c>
      <c r="S29" s="28"/>
      <c r="T29" s="28"/>
      <c r="U29" s="28"/>
      <c r="V29" s="28"/>
    </row>
    <row r="30" spans="2:22" x14ac:dyDescent="0.3">
      <c r="B30" s="91" t="s">
        <v>77</v>
      </c>
      <c r="C30" s="111">
        <f>C24*$C$33</f>
        <v>2.5400575102422422</v>
      </c>
      <c r="D30" s="111">
        <f t="shared" ref="D30:N30" si="3">D24*$C$33</f>
        <v>2.2673602525648011</v>
      </c>
      <c r="E30" s="111">
        <f t="shared" si="3"/>
        <v>2.6585970495151563</v>
      </c>
      <c r="F30" s="111">
        <f t="shared" si="3"/>
        <v>1.1539558334344557</v>
      </c>
      <c r="G30" s="111">
        <f t="shared" si="3"/>
        <v>0.92118192800106546</v>
      </c>
      <c r="H30" s="111">
        <f t="shared" si="3"/>
        <v>1.0232580026945242</v>
      </c>
      <c r="I30" s="111">
        <f t="shared" si="3"/>
        <v>0.66902611771388554</v>
      </c>
      <c r="J30" s="111">
        <f t="shared" si="3"/>
        <v>1.0472339329240896</v>
      </c>
      <c r="K30" s="111">
        <f t="shared" si="3"/>
        <v>1.3093476001937587</v>
      </c>
      <c r="L30" s="111">
        <f t="shared" si="3"/>
        <v>1.6551047436283151</v>
      </c>
      <c r="M30" s="111">
        <f t="shared" si="3"/>
        <v>1.7755647729746595</v>
      </c>
      <c r="N30" s="111">
        <f t="shared" si="3"/>
        <v>1.7338435537381895</v>
      </c>
      <c r="O30" s="111">
        <f>AVERAGE(C30:N30)</f>
        <v>1.5628776081354285</v>
      </c>
      <c r="S30" s="28"/>
      <c r="T30" s="28"/>
      <c r="U30" s="28"/>
      <c r="V30" s="28"/>
    </row>
    <row r="31" spans="2:22" x14ac:dyDescent="0.3">
      <c r="B31" s="91" t="s">
        <v>78</v>
      </c>
      <c r="C31" s="111">
        <f>C24*$C$34</f>
        <v>5.0801150204844845</v>
      </c>
      <c r="D31" s="111">
        <f t="shared" ref="D31:N31" si="4">D24*$C$34</f>
        <v>4.5347205051296022</v>
      </c>
      <c r="E31" s="111">
        <f t="shared" si="4"/>
        <v>5.3171940990303126</v>
      </c>
      <c r="F31" s="111">
        <f t="shared" si="4"/>
        <v>2.3079116668689115</v>
      </c>
      <c r="G31" s="111">
        <f t="shared" si="4"/>
        <v>1.8423638560021309</v>
      </c>
      <c r="H31" s="111">
        <f t="shared" si="4"/>
        <v>2.0465160053890483</v>
      </c>
      <c r="I31" s="111">
        <f t="shared" si="4"/>
        <v>1.3380522354277711</v>
      </c>
      <c r="J31" s="111">
        <f t="shared" si="4"/>
        <v>2.0944678658481792</v>
      </c>
      <c r="K31" s="111">
        <f t="shared" si="4"/>
        <v>2.6186952003875175</v>
      </c>
      <c r="L31" s="111">
        <f t="shared" si="4"/>
        <v>3.3102094872566301</v>
      </c>
      <c r="M31" s="111">
        <f t="shared" si="4"/>
        <v>3.5511295459493191</v>
      </c>
      <c r="N31" s="111">
        <f t="shared" si="4"/>
        <v>3.4676871074763791</v>
      </c>
      <c r="O31" s="111">
        <f>AVERAGE(C31:N31)</f>
        <v>3.1257552162708571</v>
      </c>
      <c r="S31" s="28"/>
      <c r="T31" s="28"/>
      <c r="U31" s="28"/>
      <c r="V31" s="28"/>
    </row>
    <row r="32" spans="2:22" ht="8.4" customHeight="1" x14ac:dyDescent="0.3">
      <c r="B32" s="91"/>
      <c r="C32" s="113"/>
      <c r="D32" s="113"/>
      <c r="E32" s="113"/>
      <c r="F32" s="113"/>
      <c r="G32" s="113"/>
      <c r="H32" s="113"/>
      <c r="I32" s="113"/>
      <c r="J32" s="113"/>
      <c r="K32" s="113"/>
      <c r="L32" s="113"/>
      <c r="M32" s="113"/>
      <c r="N32" s="113"/>
      <c r="O32" s="113"/>
      <c r="S32" s="28"/>
      <c r="T32" s="28"/>
      <c r="U32" s="28"/>
      <c r="V32" s="28"/>
    </row>
    <row r="33" spans="2:22" x14ac:dyDescent="0.3">
      <c r="B33" s="91" t="s">
        <v>79</v>
      </c>
      <c r="C33" s="122">
        <f>'DG_SK, Trumpal. kainos 2020'!M17</f>
        <v>1.5</v>
      </c>
      <c r="D33" s="107"/>
      <c r="E33" s="107"/>
      <c r="F33" s="107"/>
      <c r="G33" s="107"/>
      <c r="H33" s="107"/>
      <c r="I33" s="107"/>
      <c r="J33" s="107"/>
      <c r="K33" s="107"/>
      <c r="L33" s="107"/>
      <c r="M33" s="107"/>
      <c r="N33" s="107"/>
      <c r="O33" s="108"/>
      <c r="S33" s="28"/>
      <c r="T33" s="28"/>
      <c r="U33" s="28"/>
      <c r="V33" s="28"/>
    </row>
    <row r="34" spans="2:22" x14ac:dyDescent="0.3">
      <c r="B34" s="91" t="s">
        <v>80</v>
      </c>
      <c r="C34" s="122">
        <f>'DG_SK, Trumpal. kainos 2020'!N17</f>
        <v>3</v>
      </c>
      <c r="D34" s="107"/>
      <c r="E34" s="107"/>
      <c r="F34" s="107"/>
      <c r="G34" s="107"/>
      <c r="H34" s="107"/>
      <c r="I34" s="107"/>
      <c r="J34" s="107"/>
      <c r="K34" s="107"/>
      <c r="L34" s="107"/>
      <c r="M34" s="107"/>
      <c r="N34" s="107"/>
      <c r="O34" s="108"/>
      <c r="S34" s="28"/>
      <c r="T34" s="28"/>
      <c r="U34" s="28"/>
      <c r="V34" s="28"/>
    </row>
    <row r="35" spans="2:22" x14ac:dyDescent="0.3">
      <c r="B35" s="89"/>
      <c r="C35" s="107"/>
      <c r="D35" s="107"/>
      <c r="E35" s="107"/>
      <c r="F35" s="107"/>
      <c r="G35" s="107"/>
      <c r="H35" s="107"/>
      <c r="I35" s="107"/>
      <c r="J35" s="107"/>
      <c r="K35" s="107"/>
      <c r="L35" s="107"/>
      <c r="M35" s="107"/>
      <c r="N35" s="107"/>
      <c r="O35" s="108"/>
      <c r="S35" s="28"/>
      <c r="T35" s="28"/>
      <c r="U35" s="28"/>
      <c r="V35" s="28"/>
    </row>
    <row r="36" spans="2:22" ht="162" customHeight="1" x14ac:dyDescent="0.3">
      <c r="B36" s="376" t="s">
        <v>82</v>
      </c>
      <c r="C36" s="376"/>
      <c r="D36" s="376"/>
      <c r="E36" s="376"/>
      <c r="F36" s="376"/>
      <c r="G36" s="376"/>
      <c r="H36" s="376"/>
      <c r="I36" s="376"/>
      <c r="J36" s="376"/>
      <c r="K36" s="376"/>
      <c r="L36" s="376"/>
      <c r="M36" s="376"/>
      <c r="N36" s="376"/>
      <c r="O36" s="109"/>
      <c r="S36" s="28"/>
      <c r="T36" s="28"/>
      <c r="U36" s="28"/>
      <c r="V36" s="28"/>
    </row>
    <row r="37" spans="2:22" ht="14.4" customHeight="1" x14ac:dyDescent="0.3">
      <c r="B37" s="370"/>
      <c r="C37" s="366" t="s">
        <v>67</v>
      </c>
      <c r="D37" s="366"/>
      <c r="E37" s="366"/>
      <c r="F37" s="366"/>
      <c r="G37" s="366"/>
      <c r="H37" s="366"/>
      <c r="I37" s="366"/>
      <c r="J37" s="366"/>
      <c r="K37" s="366"/>
      <c r="L37" s="366"/>
      <c r="M37" s="366"/>
      <c r="N37" s="366"/>
      <c r="O37" s="115"/>
      <c r="S37" s="28"/>
      <c r="T37" s="28"/>
      <c r="U37" s="28"/>
      <c r="V37" s="28"/>
    </row>
    <row r="38" spans="2:22" x14ac:dyDescent="0.3">
      <c r="B38" s="370"/>
      <c r="C38" s="304" t="s">
        <v>16</v>
      </c>
      <c r="D38" s="304" t="s">
        <v>17</v>
      </c>
      <c r="E38" s="304" t="s">
        <v>18</v>
      </c>
      <c r="F38" s="304" t="s">
        <v>19</v>
      </c>
      <c r="G38" s="304" t="s">
        <v>20</v>
      </c>
      <c r="H38" s="304" t="s">
        <v>21</v>
      </c>
      <c r="I38" s="304" t="s">
        <v>22</v>
      </c>
      <c r="J38" s="304" t="s">
        <v>23</v>
      </c>
      <c r="K38" s="304" t="s">
        <v>24</v>
      </c>
      <c r="L38" s="304" t="s">
        <v>25</v>
      </c>
      <c r="M38" s="304" t="s">
        <v>26</v>
      </c>
      <c r="N38" s="304" t="s">
        <v>27</v>
      </c>
      <c r="O38" s="116"/>
      <c r="S38" s="28"/>
      <c r="T38" s="28"/>
      <c r="U38" s="28"/>
      <c r="V38" s="28"/>
    </row>
    <row r="39" spans="2:22" x14ac:dyDescent="0.3">
      <c r="B39" s="91" t="s">
        <v>83</v>
      </c>
      <c r="C39" s="111">
        <f>C24*$C$42</f>
        <v>1.6252440351184159</v>
      </c>
      <c r="D39" s="111">
        <f t="shared" ref="D39:N39" si="5">D24*$C$42</f>
        <v>1.4507599576334367</v>
      </c>
      <c r="E39" s="111">
        <f t="shared" si="5"/>
        <v>1.7010910103747421</v>
      </c>
      <c r="F39" s="111">
        <f t="shared" si="5"/>
        <v>0.7383532961427276</v>
      </c>
      <c r="G39" s="111">
        <f t="shared" si="5"/>
        <v>0.58941399070914446</v>
      </c>
      <c r="H39" s="111">
        <f t="shared" si="5"/>
        <v>0.6547268943953386</v>
      </c>
      <c r="I39" s="111">
        <f t="shared" si="5"/>
        <v>0.42807326321096811</v>
      </c>
      <c r="J39" s="111">
        <f t="shared" si="5"/>
        <v>0.67006778232204567</v>
      </c>
      <c r="K39" s="111">
        <f t="shared" si="5"/>
        <v>0.83777999849640139</v>
      </c>
      <c r="L39" s="111">
        <f t="shared" si="5"/>
        <v>1.0590111055483846</v>
      </c>
      <c r="M39" s="111">
        <f t="shared" si="5"/>
        <v>1.1360868974845539</v>
      </c>
      <c r="N39" s="111">
        <f t="shared" si="5"/>
        <v>1.1093917685638415</v>
      </c>
      <c r="O39" s="114"/>
      <c r="S39" s="28"/>
      <c r="T39" s="28"/>
      <c r="U39" s="28"/>
      <c r="V39" s="28"/>
    </row>
    <row r="40" spans="2:22" x14ac:dyDescent="0.3">
      <c r="B40" s="91" t="s">
        <v>92</v>
      </c>
      <c r="C40" s="111">
        <f>C24*$C$43</f>
        <v>1.6252440351184159</v>
      </c>
      <c r="D40" s="111">
        <f t="shared" ref="D40:N40" si="6">D24*$C$43</f>
        <v>1.4507599576334367</v>
      </c>
      <c r="E40" s="111">
        <f t="shared" si="6"/>
        <v>1.7010910103747421</v>
      </c>
      <c r="F40" s="111">
        <f t="shared" si="6"/>
        <v>0.7383532961427276</v>
      </c>
      <c r="G40" s="111">
        <f t="shared" si="6"/>
        <v>0.58941399070914446</v>
      </c>
      <c r="H40" s="111">
        <f t="shared" si="6"/>
        <v>0.6547268943953386</v>
      </c>
      <c r="I40" s="111">
        <f t="shared" si="6"/>
        <v>0.42807326321096811</v>
      </c>
      <c r="J40" s="111">
        <f t="shared" si="6"/>
        <v>0.67006778232204567</v>
      </c>
      <c r="K40" s="111">
        <f t="shared" si="6"/>
        <v>0.83777999849640139</v>
      </c>
      <c r="L40" s="111">
        <f t="shared" si="6"/>
        <v>1.0590111055483846</v>
      </c>
      <c r="M40" s="111">
        <f t="shared" si="6"/>
        <v>1.1360868974845539</v>
      </c>
      <c r="N40" s="111">
        <f t="shared" si="6"/>
        <v>1.1093917685638415</v>
      </c>
      <c r="O40" s="114"/>
      <c r="S40" s="28"/>
      <c r="T40" s="28"/>
      <c r="U40" s="28"/>
      <c r="V40" s="28"/>
    </row>
    <row r="41" spans="2:22" ht="7.2" customHeight="1" x14ac:dyDescent="0.3">
      <c r="B41" s="91"/>
      <c r="C41" s="113"/>
      <c r="D41" s="113"/>
      <c r="E41" s="113"/>
      <c r="F41" s="113"/>
      <c r="G41" s="113"/>
      <c r="H41" s="113"/>
      <c r="I41" s="113"/>
      <c r="J41" s="113"/>
      <c r="K41" s="113"/>
      <c r="L41" s="113"/>
      <c r="M41" s="113"/>
      <c r="N41" s="113"/>
      <c r="O41" s="114"/>
      <c r="S41" s="28"/>
      <c r="T41" s="28"/>
      <c r="U41" s="28"/>
      <c r="V41" s="28"/>
    </row>
    <row r="42" spans="2:22" x14ac:dyDescent="0.3">
      <c r="B42" s="91" t="s">
        <v>84</v>
      </c>
      <c r="C42" s="111">
        <f>IF(O30&gt;1.5,1.5/O30,IF(O30&lt;1,1/O30,1))</f>
        <v>0.95976805361589135</v>
      </c>
      <c r="D42" s="114"/>
      <c r="E42" s="107"/>
      <c r="F42" s="107"/>
      <c r="G42" s="107"/>
      <c r="H42" s="107"/>
      <c r="I42" s="107"/>
      <c r="J42" s="107"/>
      <c r="K42" s="107"/>
      <c r="L42" s="107"/>
      <c r="M42" s="107"/>
      <c r="N42" s="107"/>
      <c r="O42" s="108"/>
      <c r="S42" s="28"/>
      <c r="T42" s="28"/>
      <c r="U42" s="28"/>
      <c r="V42" s="28"/>
    </row>
    <row r="43" spans="2:22" x14ac:dyDescent="0.3">
      <c r="B43" s="91" t="s">
        <v>85</v>
      </c>
      <c r="C43" s="111">
        <f>IF(O31&gt;3,3/O31,IF(O31&lt;1,1/O31,1))</f>
        <v>0.95976805361589135</v>
      </c>
      <c r="D43" s="114"/>
      <c r="E43" s="107"/>
      <c r="F43" s="107"/>
      <c r="G43" s="107"/>
      <c r="H43" s="107"/>
      <c r="I43" s="107"/>
      <c r="J43" s="107"/>
      <c r="K43" s="107"/>
      <c r="L43" s="107"/>
      <c r="M43" s="107"/>
      <c r="N43" s="107"/>
      <c r="O43" s="108"/>
      <c r="S43" s="28"/>
      <c r="T43" s="28"/>
      <c r="U43" s="28"/>
      <c r="V43" s="28"/>
    </row>
    <row r="44" spans="2:22" x14ac:dyDescent="0.3">
      <c r="B44" s="89"/>
      <c r="C44" s="107"/>
      <c r="D44" s="107"/>
      <c r="E44" s="107"/>
      <c r="F44" s="107"/>
      <c r="G44" s="107"/>
      <c r="H44" s="107"/>
      <c r="I44" s="107"/>
      <c r="J44" s="107"/>
      <c r="K44" s="107"/>
      <c r="L44" s="107"/>
      <c r="M44" s="107"/>
      <c r="N44" s="107"/>
      <c r="O44" s="108"/>
      <c r="S44" s="28"/>
      <c r="T44" s="28"/>
      <c r="U44" s="28"/>
      <c r="V44" s="28"/>
    </row>
    <row r="45" spans="2:22" ht="98.4" customHeight="1" x14ac:dyDescent="0.3">
      <c r="B45" s="376" t="s">
        <v>88</v>
      </c>
      <c r="C45" s="376"/>
      <c r="D45" s="376"/>
      <c r="E45" s="376"/>
      <c r="F45" s="376"/>
      <c r="G45" s="376"/>
      <c r="H45" s="376"/>
      <c r="I45" s="376"/>
      <c r="J45" s="376"/>
      <c r="K45" s="376"/>
      <c r="L45" s="376"/>
      <c r="M45" s="376"/>
      <c r="N45" s="376"/>
      <c r="O45" s="109"/>
      <c r="S45" s="28"/>
      <c r="T45" s="28"/>
      <c r="U45" s="28"/>
      <c r="V45" s="28"/>
    </row>
    <row r="46" spans="2:22" ht="14.4" customHeight="1" x14ac:dyDescent="0.3">
      <c r="B46" s="370"/>
      <c r="C46" s="366" t="s">
        <v>86</v>
      </c>
      <c r="D46" s="366"/>
      <c r="E46" s="366"/>
      <c r="F46" s="366"/>
      <c r="G46" s="115"/>
      <c r="H46" s="115"/>
      <c r="I46" s="115"/>
      <c r="J46" s="115"/>
      <c r="K46" s="115"/>
      <c r="L46" s="115"/>
      <c r="M46" s="115"/>
      <c r="N46" s="115"/>
      <c r="O46" s="115"/>
      <c r="S46" s="28"/>
      <c r="T46" s="28"/>
      <c r="U46" s="28"/>
      <c r="V46" s="28"/>
    </row>
    <row r="47" spans="2:22" x14ac:dyDescent="0.3">
      <c r="B47" s="370"/>
      <c r="C47" s="304" t="s">
        <v>35</v>
      </c>
      <c r="D47" s="304" t="s">
        <v>36</v>
      </c>
      <c r="E47" s="304" t="s">
        <v>37</v>
      </c>
      <c r="F47" s="304" t="s">
        <v>38</v>
      </c>
      <c r="G47" s="116"/>
      <c r="H47" s="116"/>
      <c r="I47" s="116"/>
      <c r="J47" s="116"/>
      <c r="K47" s="116"/>
      <c r="L47" s="116"/>
      <c r="M47" s="116"/>
      <c r="N47" s="116"/>
      <c r="O47" s="116"/>
      <c r="S47" s="28"/>
      <c r="T47" s="28"/>
      <c r="U47" s="28"/>
      <c r="V47" s="28"/>
    </row>
    <row r="48" spans="2:22" x14ac:dyDescent="0.3">
      <c r="B48" s="91" t="s">
        <v>87</v>
      </c>
      <c r="C48" s="111">
        <f>AVERAGE(C39:E39)</f>
        <v>1.5923650010421981</v>
      </c>
      <c r="D48" s="111">
        <f>AVERAGE(F39:H39)</f>
        <v>0.66083139374907029</v>
      </c>
      <c r="E48" s="111">
        <f>AVERAGE(I39:K39)</f>
        <v>0.64530701467647178</v>
      </c>
      <c r="F48" s="111">
        <f>AVERAGE(L39:N39)</f>
        <v>1.10149659053226</v>
      </c>
      <c r="G48" s="114"/>
      <c r="H48" s="114"/>
      <c r="I48" s="114"/>
      <c r="J48" s="114"/>
      <c r="K48" s="114"/>
      <c r="L48" s="114"/>
      <c r="M48" s="114"/>
      <c r="N48" s="114"/>
      <c r="O48" s="114"/>
      <c r="S48" s="28"/>
      <c r="T48" s="28"/>
      <c r="U48" s="28"/>
      <c r="V48" s="28"/>
    </row>
    <row r="49" spans="2:22" x14ac:dyDescent="0.3">
      <c r="B49" s="89"/>
      <c r="C49" s="107"/>
      <c r="D49" s="107"/>
      <c r="E49" s="107"/>
      <c r="F49" s="107"/>
      <c r="G49" s="107"/>
      <c r="H49" s="107"/>
      <c r="I49" s="107"/>
      <c r="J49" s="107"/>
      <c r="K49" s="107"/>
      <c r="L49" s="107"/>
      <c r="M49" s="107"/>
      <c r="N49" s="107"/>
      <c r="O49" s="108"/>
      <c r="S49" s="28"/>
      <c r="T49" s="28"/>
      <c r="U49" s="28"/>
      <c r="V49" s="28"/>
    </row>
    <row r="50" spans="2:22" ht="29.4" customHeight="1" x14ac:dyDescent="0.3">
      <c r="B50" s="376" t="s">
        <v>89</v>
      </c>
      <c r="C50" s="376"/>
      <c r="D50" s="376"/>
      <c r="E50" s="376"/>
      <c r="F50" s="376"/>
      <c r="G50" s="376"/>
      <c r="H50" s="376"/>
      <c r="I50" s="376"/>
      <c r="J50" s="376"/>
      <c r="K50" s="376"/>
      <c r="L50" s="376"/>
      <c r="M50" s="376"/>
      <c r="N50" s="376"/>
      <c r="O50" s="108"/>
      <c r="S50" s="28"/>
      <c r="T50" s="28"/>
      <c r="U50" s="28"/>
      <c r="V50" s="28"/>
    </row>
    <row r="51" spans="2:22" ht="14.4" customHeight="1" x14ac:dyDescent="0.3">
      <c r="B51" s="370"/>
      <c r="C51" s="366" t="s">
        <v>67</v>
      </c>
      <c r="D51" s="366"/>
      <c r="E51" s="366"/>
      <c r="F51" s="366"/>
      <c r="G51" s="366"/>
      <c r="H51" s="366"/>
      <c r="I51" s="366"/>
      <c r="J51" s="366"/>
      <c r="K51" s="366"/>
      <c r="L51" s="366"/>
      <c r="M51" s="366"/>
      <c r="N51" s="366"/>
      <c r="O51" s="366"/>
      <c r="S51" s="28"/>
      <c r="T51" s="28"/>
      <c r="U51" s="28"/>
      <c r="V51" s="28"/>
    </row>
    <row r="52" spans="2:22" x14ac:dyDescent="0.3">
      <c r="B52" s="370"/>
      <c r="C52" s="304" t="s">
        <v>16</v>
      </c>
      <c r="D52" s="304" t="s">
        <v>17</v>
      </c>
      <c r="E52" s="304" t="s">
        <v>18</v>
      </c>
      <c r="F52" s="304" t="s">
        <v>19</v>
      </c>
      <c r="G52" s="304" t="s">
        <v>20</v>
      </c>
      <c r="H52" s="304" t="s">
        <v>21</v>
      </c>
      <c r="I52" s="304" t="s">
        <v>22</v>
      </c>
      <c r="J52" s="304" t="s">
        <v>23</v>
      </c>
      <c r="K52" s="304" t="s">
        <v>24</v>
      </c>
      <c r="L52" s="304" t="s">
        <v>25</v>
      </c>
      <c r="M52" s="304" t="s">
        <v>26</v>
      </c>
      <c r="N52" s="304" t="s">
        <v>27</v>
      </c>
      <c r="O52" s="143" t="s">
        <v>66</v>
      </c>
      <c r="S52" s="28"/>
      <c r="T52" s="28"/>
      <c r="U52" s="28"/>
      <c r="V52" s="28"/>
    </row>
    <row r="53" spans="2:22" x14ac:dyDescent="0.3">
      <c r="B53" s="91" t="s">
        <v>90</v>
      </c>
      <c r="C53" s="123">
        <f>ROUND(C39,2)</f>
        <v>1.63</v>
      </c>
      <c r="D53" s="123">
        <f t="shared" ref="D53:N54" si="7">ROUND(D39,2)</f>
        <v>1.45</v>
      </c>
      <c r="E53" s="123">
        <f t="shared" si="7"/>
        <v>1.7</v>
      </c>
      <c r="F53" s="123">
        <f t="shared" si="7"/>
        <v>0.74</v>
      </c>
      <c r="G53" s="123">
        <f t="shared" si="7"/>
        <v>0.59</v>
      </c>
      <c r="H53" s="123">
        <f t="shared" si="7"/>
        <v>0.65</v>
      </c>
      <c r="I53" s="123">
        <f t="shared" si="7"/>
        <v>0.43</v>
      </c>
      <c r="J53" s="123">
        <f t="shared" si="7"/>
        <v>0.67</v>
      </c>
      <c r="K53" s="123">
        <f t="shared" si="7"/>
        <v>0.84</v>
      </c>
      <c r="L53" s="123">
        <f t="shared" si="7"/>
        <v>1.06</v>
      </c>
      <c r="M53" s="123">
        <f t="shared" si="7"/>
        <v>1.1399999999999999</v>
      </c>
      <c r="N53" s="123">
        <f t="shared" si="7"/>
        <v>1.1100000000000001</v>
      </c>
      <c r="O53" s="123">
        <f>AVERAGE(C53:N53)</f>
        <v>1.0008333333333335</v>
      </c>
      <c r="S53" s="28"/>
      <c r="T53" s="28"/>
      <c r="U53" s="28"/>
      <c r="V53" s="28"/>
    </row>
    <row r="54" spans="2:22" x14ac:dyDescent="0.3">
      <c r="B54" s="91" t="s">
        <v>91</v>
      </c>
      <c r="C54" s="123">
        <f>ROUND(C40,2)</f>
        <v>1.63</v>
      </c>
      <c r="D54" s="123">
        <f t="shared" si="7"/>
        <v>1.45</v>
      </c>
      <c r="E54" s="123">
        <f t="shared" si="7"/>
        <v>1.7</v>
      </c>
      <c r="F54" s="123">
        <f t="shared" si="7"/>
        <v>0.74</v>
      </c>
      <c r="G54" s="123">
        <f t="shared" si="7"/>
        <v>0.59</v>
      </c>
      <c r="H54" s="123">
        <f t="shared" si="7"/>
        <v>0.65</v>
      </c>
      <c r="I54" s="123">
        <f t="shared" si="7"/>
        <v>0.43</v>
      </c>
      <c r="J54" s="123">
        <f t="shared" si="7"/>
        <v>0.67</v>
      </c>
      <c r="K54" s="123">
        <f t="shared" si="7"/>
        <v>0.84</v>
      </c>
      <c r="L54" s="123">
        <f t="shared" si="7"/>
        <v>1.06</v>
      </c>
      <c r="M54" s="123">
        <f t="shared" si="7"/>
        <v>1.1399999999999999</v>
      </c>
      <c r="N54" s="123">
        <f t="shared" si="7"/>
        <v>1.1100000000000001</v>
      </c>
      <c r="O54" s="123">
        <f>AVERAGE(C54:N54)</f>
        <v>1.0008333333333335</v>
      </c>
      <c r="S54" s="28"/>
      <c r="T54" s="28"/>
      <c r="U54" s="28"/>
      <c r="V54" s="28"/>
    </row>
    <row r="55" spans="2:22" x14ac:dyDescent="0.3">
      <c r="B55" s="117"/>
      <c r="C55" s="304" t="s">
        <v>35</v>
      </c>
      <c r="D55" s="304" t="s">
        <v>36</v>
      </c>
      <c r="E55" s="304" t="s">
        <v>37</v>
      </c>
      <c r="F55" s="304" t="s">
        <v>38</v>
      </c>
      <c r="G55" s="304" t="s">
        <v>66</v>
      </c>
      <c r="H55" s="116"/>
      <c r="I55" s="116"/>
      <c r="J55" s="116"/>
      <c r="K55" s="116"/>
      <c r="L55" s="116"/>
      <c r="M55" s="116"/>
      <c r="N55" s="116"/>
      <c r="O55" s="108"/>
      <c r="S55" s="28"/>
      <c r="T55" s="28"/>
      <c r="U55" s="28"/>
      <c r="V55" s="28"/>
    </row>
    <row r="56" spans="2:22" x14ac:dyDescent="0.3">
      <c r="B56" s="91" t="s">
        <v>93</v>
      </c>
      <c r="C56" s="123">
        <f>ROUND(C48,2)</f>
        <v>1.59</v>
      </c>
      <c r="D56" s="123">
        <f t="shared" ref="D56:F56" si="8">ROUND(D48,2)</f>
        <v>0.66</v>
      </c>
      <c r="E56" s="123">
        <f t="shared" si="8"/>
        <v>0.65</v>
      </c>
      <c r="F56" s="123">
        <f t="shared" si="8"/>
        <v>1.1000000000000001</v>
      </c>
      <c r="G56" s="123">
        <f>AVERAGE(C56:F56)</f>
        <v>1</v>
      </c>
      <c r="H56" s="114"/>
      <c r="I56" s="114"/>
      <c r="J56" s="114"/>
      <c r="K56" s="114"/>
      <c r="L56" s="114"/>
      <c r="M56" s="114"/>
      <c r="N56" s="114"/>
      <c r="O56" s="108"/>
      <c r="S56" s="28"/>
      <c r="T56" s="28"/>
      <c r="U56" s="28"/>
      <c r="V56" s="28"/>
    </row>
    <row r="57" spans="2:22" x14ac:dyDescent="0.3">
      <c r="B57" s="89"/>
      <c r="C57" s="107"/>
      <c r="D57" s="107"/>
      <c r="E57" s="107"/>
      <c r="F57" s="107"/>
      <c r="G57" s="107"/>
      <c r="H57" s="107"/>
      <c r="I57" s="107"/>
      <c r="J57" s="107"/>
      <c r="K57" s="107"/>
      <c r="L57" s="107"/>
      <c r="M57" s="107"/>
      <c r="N57" s="107"/>
      <c r="O57" s="108"/>
      <c r="S57" s="28"/>
      <c r="T57" s="28"/>
      <c r="U57" s="28"/>
      <c r="V57" s="28"/>
    </row>
    <row r="58" spans="2:22" x14ac:dyDescent="0.3">
      <c r="C58" s="139"/>
      <c r="D58" s="118"/>
      <c r="E58" s="118"/>
      <c r="F58" s="118"/>
      <c r="S58" s="82"/>
    </row>
  </sheetData>
  <mergeCells count="24">
    <mergeCell ref="B45:N45"/>
    <mergeCell ref="B46:B47"/>
    <mergeCell ref="C46:F46"/>
    <mergeCell ref="B50:N50"/>
    <mergeCell ref="B51:B52"/>
    <mergeCell ref="C51:O51"/>
    <mergeCell ref="B27:O27"/>
    <mergeCell ref="B28:B29"/>
    <mergeCell ref="C28:O28"/>
    <mergeCell ref="B36:N36"/>
    <mergeCell ref="B37:B38"/>
    <mergeCell ref="C37:N37"/>
    <mergeCell ref="B16:N16"/>
    <mergeCell ref="B17:B18"/>
    <mergeCell ref="C17:N17"/>
    <mergeCell ref="B21:N21"/>
    <mergeCell ref="B22:B23"/>
    <mergeCell ref="C22:N22"/>
    <mergeCell ref="B6:O6"/>
    <mergeCell ref="B7:B8"/>
    <mergeCell ref="C7:O7"/>
    <mergeCell ref="B11:O11"/>
    <mergeCell ref="B12:B13"/>
    <mergeCell ref="C12:O12"/>
  </mergeCells>
  <dataValidations count="2">
    <dataValidation type="decimal" allowBlank="1" showInputMessage="1" showErrorMessage="1" errorTitle="Invalid data" error="Values between 0 and 2 must be entered." sqref="C25">
      <formula1>0</formula1>
      <formula2>2</formula2>
    </dataValidation>
    <dataValidation operator="greaterThan" allowBlank="1" showInputMessage="1" showErrorMessage="1" sqref="C9:N9"/>
  </dataValidations>
  <pageMargins left="0.7" right="0.7" top="0.75" bottom="0.75" header="0.3" footer="0.3"/>
  <pageSetup paperSize="9" scale="3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Kainos_ref. kainos 2020</vt:lpstr>
      <vt:lpstr>DG_SK, Trumpal. kainos 2020</vt:lpstr>
      <vt:lpstr>SK skaičiavimas_Vidinis</vt:lpstr>
      <vt:lpstr>SK skaičiavimas_Šakiai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2019-10-25T10:42:40Z</dcterms:modified>
</cp:coreProperties>
</file>