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10548" tabRatio="882"/>
  </bookViews>
  <sheets>
    <sheet name="Tariffs_ref. prices until 2023" sheetId="9" r:id="rId1"/>
    <sheet name="Ms_SFs, Short-term tar. 2020-23" sheetId="11" r:id="rId2"/>
    <sheet name="Calculation of SFs_Domestic" sheetId="13" r:id="rId3"/>
    <sheet name="Calculation of SFs_Sakiai" sheetId="16" r:id="rId4"/>
  </sheets>
  <definedNames>
    <definedName name="_xlnm._FilterDatabase" localSheetId="2" hidden="1">'Calculation of SFs_Domestic'!#REF!</definedName>
    <definedName name="_xlnm._FilterDatabase" localSheetId="3" hidden="1">'Calculation of SFs_Sakiai'!#REF!</definedName>
    <definedName name="_xlnm._FilterDatabase" localSheetId="1" hidden="1">'Ms_SFs, Short-term tar. 2020-23'!#REF!</definedName>
    <definedName name="_xlnm._FilterDatabase" localSheetId="0" hidden="1">'Tariffs_ref. prices until 2023'!$E$65:$E$68</definedName>
  </definedNames>
  <calcPr calcId="152511"/>
</workbook>
</file>

<file path=xl/calcChain.xml><?xml version="1.0" encoding="utf-8"?>
<calcChain xmlns="http://schemas.openxmlformats.org/spreadsheetml/2006/main">
  <c r="G48" i="9" l="1"/>
  <c r="H48" i="9"/>
  <c r="I48" i="9"/>
  <c r="I47" i="9"/>
  <c r="H47" i="9"/>
  <c r="G47" i="9"/>
  <c r="F73" i="9" l="1"/>
  <c r="E73" i="9"/>
  <c r="F52" i="9" l="1"/>
  <c r="G14" i="9"/>
  <c r="H14" i="9"/>
  <c r="I14" i="9"/>
  <c r="F12" i="11" l="1"/>
  <c r="E15" i="11"/>
  <c r="D14" i="11"/>
  <c r="F14" i="11"/>
  <c r="C13" i="11"/>
  <c r="D13" i="11"/>
  <c r="E13" i="11"/>
  <c r="F13" i="11"/>
  <c r="G13" i="11"/>
  <c r="C14" i="11"/>
  <c r="E14" i="11"/>
  <c r="G14" i="11"/>
  <c r="C15" i="11"/>
  <c r="D15" i="11"/>
  <c r="F15" i="11"/>
  <c r="G15" i="11"/>
  <c r="C54" i="11"/>
  <c r="AH116" i="11" l="1"/>
  <c r="AL116" i="11"/>
  <c r="AP116" i="11"/>
  <c r="AI117" i="11"/>
  <c r="AM117" i="11"/>
  <c r="AQ117" i="11"/>
  <c r="T117" i="11"/>
  <c r="AF116" i="11"/>
  <c r="AK116" i="11"/>
  <c r="AQ116" i="11"/>
  <c r="AK117" i="11"/>
  <c r="AP117" i="11"/>
  <c r="AF117" i="11"/>
  <c r="U116" i="11"/>
  <c r="Y116" i="11"/>
  <c r="AC116" i="11"/>
  <c r="V117" i="11"/>
  <c r="Z117" i="11"/>
  <c r="AD117" i="11"/>
  <c r="H116" i="11"/>
  <c r="I116" i="11"/>
  <c r="M116" i="11"/>
  <c r="Q116" i="11"/>
  <c r="J117" i="11"/>
  <c r="N117" i="11"/>
  <c r="R117" i="11"/>
  <c r="E116" i="11"/>
  <c r="F117" i="11"/>
  <c r="D116" i="11"/>
  <c r="AM116" i="11"/>
  <c r="AH117" i="11"/>
  <c r="AO117" i="11"/>
  <c r="T116" i="11"/>
  <c r="V116" i="11"/>
  <c r="AA116" i="11"/>
  <c r="U117" i="11"/>
  <c r="AA117" i="11"/>
  <c r="H117" i="11"/>
  <c r="K116" i="11"/>
  <c r="P116" i="11"/>
  <c r="K117" i="11"/>
  <c r="P117" i="11"/>
  <c r="E117" i="11"/>
  <c r="AG116" i="11"/>
  <c r="AN116" i="11"/>
  <c r="AJ117" i="11"/>
  <c r="W116" i="11"/>
  <c r="AB116" i="11"/>
  <c r="W117" i="11"/>
  <c r="AB117" i="11"/>
  <c r="L116" i="11"/>
  <c r="R116" i="11"/>
  <c r="L117" i="11"/>
  <c r="Q117" i="11"/>
  <c r="G117" i="11"/>
  <c r="AI116" i="11"/>
  <c r="AO116" i="11"/>
  <c r="AL117" i="11"/>
  <c r="X116" i="11"/>
  <c r="AD116" i="11"/>
  <c r="X117" i="11"/>
  <c r="AC117" i="11"/>
  <c r="N116" i="11"/>
  <c r="S116" i="11"/>
  <c r="M117" i="11"/>
  <c r="S117" i="11"/>
  <c r="F116" i="11"/>
  <c r="D117" i="11"/>
  <c r="Z116" i="11"/>
  <c r="O117" i="11"/>
  <c r="G116" i="11"/>
  <c r="AJ116" i="11"/>
  <c r="AE116" i="11"/>
  <c r="J116" i="11"/>
  <c r="AG117" i="11"/>
  <c r="Y117" i="11"/>
  <c r="O116" i="11"/>
  <c r="AN117" i="11"/>
  <c r="AE117" i="11"/>
  <c r="I117" i="11"/>
  <c r="AQ83" i="11"/>
  <c r="AI82" i="11"/>
  <c r="AM82" i="11"/>
  <c r="AG83" i="11"/>
  <c r="AK83" i="11"/>
  <c r="AO83" i="11"/>
  <c r="U82" i="11"/>
  <c r="Y82" i="11"/>
  <c r="AC82" i="11"/>
  <c r="V83" i="11"/>
  <c r="Z83" i="11"/>
  <c r="AD83" i="11"/>
  <c r="T82" i="11"/>
  <c r="L83" i="11"/>
  <c r="P83" i="11"/>
  <c r="H83" i="11"/>
  <c r="L82" i="11"/>
  <c r="P82" i="11"/>
  <c r="H82" i="11"/>
  <c r="G83" i="11"/>
  <c r="F82" i="11"/>
  <c r="AH82" i="11"/>
  <c r="AN82" i="11"/>
  <c r="AI83" i="11"/>
  <c r="AN83" i="11"/>
  <c r="V82" i="11"/>
  <c r="AA82" i="11"/>
  <c r="U83" i="11"/>
  <c r="AA83" i="11"/>
  <c r="K83" i="11"/>
  <c r="Q83" i="11"/>
  <c r="J82" i="11"/>
  <c r="O82" i="11"/>
  <c r="D83" i="11"/>
  <c r="D82" i="11"/>
  <c r="AJ82" i="11"/>
  <c r="AO82" i="11"/>
  <c r="AJ83" i="11"/>
  <c r="AP83" i="11"/>
  <c r="W82" i="11"/>
  <c r="AB82" i="11"/>
  <c r="W83" i="11"/>
  <c r="AB83" i="11"/>
  <c r="M83" i="11"/>
  <c r="R83" i="11"/>
  <c r="K82" i="11"/>
  <c r="Q82" i="11"/>
  <c r="AQ82" i="11"/>
  <c r="AK82" i="11"/>
  <c r="AP82" i="11"/>
  <c r="AL83" i="11"/>
  <c r="AF83" i="11"/>
  <c r="X82" i="11"/>
  <c r="AD82" i="11"/>
  <c r="X83" i="11"/>
  <c r="AC83" i="11"/>
  <c r="I83" i="11"/>
  <c r="N83" i="11"/>
  <c r="S83" i="11"/>
  <c r="M82" i="11"/>
  <c r="R82" i="11"/>
  <c r="E83" i="11"/>
  <c r="E82" i="11"/>
  <c r="AM83" i="11"/>
  <c r="Y83" i="11"/>
  <c r="O83" i="11"/>
  <c r="F83" i="11"/>
  <c r="AG82" i="11"/>
  <c r="AF82" i="11"/>
  <c r="AE83" i="11"/>
  <c r="I82" i="11"/>
  <c r="G82" i="11"/>
  <c r="AL82" i="11"/>
  <c r="Z82" i="11"/>
  <c r="T83" i="11"/>
  <c r="N82" i="11"/>
  <c r="AH83" i="11"/>
  <c r="AE82" i="11"/>
  <c r="J83" i="11"/>
  <c r="S82" i="11"/>
  <c r="AH99" i="11"/>
  <c r="AL99" i="11"/>
  <c r="AP99" i="11"/>
  <c r="AI100" i="11"/>
  <c r="AM100" i="11"/>
  <c r="AQ100" i="11"/>
  <c r="W99" i="11"/>
  <c r="AA99" i="11"/>
  <c r="AE99" i="11"/>
  <c r="X100" i="11"/>
  <c r="AB100" i="11"/>
  <c r="K99" i="11"/>
  <c r="O99" i="11"/>
  <c r="S99" i="11"/>
  <c r="L100" i="11"/>
  <c r="P100" i="11"/>
  <c r="E100" i="11"/>
  <c r="AJ99" i="11"/>
  <c r="AO99" i="11"/>
  <c r="AJ100" i="11"/>
  <c r="AO100" i="11"/>
  <c r="AF99" i="11"/>
  <c r="V99" i="11"/>
  <c r="AB99" i="11"/>
  <c r="V100" i="11"/>
  <c r="AA100" i="11"/>
  <c r="H99" i="11"/>
  <c r="E99" i="11"/>
  <c r="M99" i="11"/>
  <c r="R99" i="11"/>
  <c r="M100" i="11"/>
  <c r="R100" i="11"/>
  <c r="F99" i="11"/>
  <c r="H100" i="11"/>
  <c r="AK99" i="11"/>
  <c r="AQ99" i="11"/>
  <c r="AK100" i="11"/>
  <c r="AP100" i="11"/>
  <c r="X99" i="11"/>
  <c r="AC99" i="11"/>
  <c r="W100" i="11"/>
  <c r="AC100" i="11"/>
  <c r="T100" i="11"/>
  <c r="D99" i="11"/>
  <c r="I99" i="11"/>
  <c r="N99" i="11"/>
  <c r="I100" i="11"/>
  <c r="N100" i="11"/>
  <c r="S100" i="11"/>
  <c r="G99" i="11"/>
  <c r="AG99" i="11"/>
  <c r="AM99" i="11"/>
  <c r="AG100" i="11"/>
  <c r="AL100" i="11"/>
  <c r="AF100" i="11"/>
  <c r="Y99" i="11"/>
  <c r="AD99" i="11"/>
  <c r="Y100" i="11"/>
  <c r="AD100" i="11"/>
  <c r="T99" i="11"/>
  <c r="J99" i="11"/>
  <c r="P99" i="11"/>
  <c r="J100" i="11"/>
  <c r="O100" i="11"/>
  <c r="F100" i="11"/>
  <c r="AI99" i="11"/>
  <c r="Z99" i="11"/>
  <c r="K100" i="11"/>
  <c r="AN99" i="11"/>
  <c r="U100" i="11"/>
  <c r="Q100" i="11"/>
  <c r="G100" i="11"/>
  <c r="AH100" i="11"/>
  <c r="Z100" i="11"/>
  <c r="L99" i="11"/>
  <c r="AN100" i="11"/>
  <c r="U99" i="11"/>
  <c r="AE100" i="11"/>
  <c r="D100" i="11"/>
  <c r="Q99" i="11"/>
  <c r="AE102" i="11" l="1"/>
  <c r="AH102" i="11"/>
  <c r="Y102" i="11"/>
  <c r="I102" i="11"/>
  <c r="AK102" i="11"/>
  <c r="AA102" i="11"/>
  <c r="AJ102" i="11"/>
  <c r="E102" i="11"/>
  <c r="X102" i="11"/>
  <c r="AM102" i="11"/>
  <c r="AE119" i="11"/>
  <c r="AG119" i="11"/>
  <c r="AC119" i="11"/>
  <c r="K119" i="11"/>
  <c r="AA119" i="11"/>
  <c r="R119" i="11"/>
  <c r="AD119" i="11"/>
  <c r="AM119" i="11"/>
  <c r="G102" i="11"/>
  <c r="U102" i="11"/>
  <c r="K102" i="11"/>
  <c r="O102" i="11"/>
  <c r="AF102" i="11"/>
  <c r="AC102" i="11"/>
  <c r="R102" i="11"/>
  <c r="V102" i="11"/>
  <c r="P102" i="11"/>
  <c r="AI102" i="11"/>
  <c r="O119" i="11"/>
  <c r="D119" i="11"/>
  <c r="X119" i="11"/>
  <c r="H119" i="11"/>
  <c r="U119" i="11"/>
  <c r="N119" i="11"/>
  <c r="Z119" i="11"/>
  <c r="AF119" i="11"/>
  <c r="AI119" i="11"/>
  <c r="AN102" i="11"/>
  <c r="Z102" i="11"/>
  <c r="Q102" i="11"/>
  <c r="F102" i="11"/>
  <c r="J102" i="11"/>
  <c r="AL102" i="11"/>
  <c r="S102" i="11"/>
  <c r="T102" i="11"/>
  <c r="W102" i="11"/>
  <c r="M102" i="11"/>
  <c r="L102" i="11"/>
  <c r="I119" i="11"/>
  <c r="AN119" i="11"/>
  <c r="Y119" i="11"/>
  <c r="S119" i="11"/>
  <c r="AL119" i="11"/>
  <c r="G119" i="11"/>
  <c r="Q119" i="11"/>
  <c r="AB119" i="11"/>
  <c r="AO119" i="11"/>
  <c r="J119" i="11"/>
  <c r="V119" i="11"/>
  <c r="AP119" i="11"/>
  <c r="T119" i="11"/>
  <c r="D102" i="11"/>
  <c r="AD102" i="11"/>
  <c r="AG102" i="11"/>
  <c r="N102" i="11"/>
  <c r="AP102" i="11"/>
  <c r="H102" i="11"/>
  <c r="AO102" i="11"/>
  <c r="AB102" i="11"/>
  <c r="AQ102" i="11"/>
  <c r="M119" i="11"/>
  <c r="L119" i="11"/>
  <c r="W119" i="11"/>
  <c r="AJ119" i="11"/>
  <c r="E119" i="11"/>
  <c r="P119" i="11"/>
  <c r="AH119" i="11"/>
  <c r="F119" i="11"/>
  <c r="AK119" i="11"/>
  <c r="AQ119" i="11"/>
  <c r="I69" i="9"/>
  <c r="F69" i="9"/>
  <c r="G69" i="9"/>
  <c r="H69" i="9"/>
  <c r="H82" i="9" l="1"/>
  <c r="I82" i="9"/>
  <c r="G82" i="9" l="1"/>
  <c r="H90" i="9"/>
  <c r="H92" i="9" s="1"/>
  <c r="I90" i="9"/>
  <c r="I92" i="9" s="1"/>
  <c r="G87" i="9"/>
  <c r="H87" i="9"/>
  <c r="I87" i="9"/>
  <c r="I19" i="9" l="1"/>
  <c r="G90" i="9"/>
  <c r="G92" i="9" s="1"/>
  <c r="G19" i="9" l="1"/>
  <c r="G77" i="9"/>
  <c r="G73" i="9" s="1"/>
  <c r="H77" i="9"/>
  <c r="H73" i="9" s="1"/>
  <c r="I77" i="9"/>
  <c r="I73" i="9" s="1"/>
  <c r="G52" i="9"/>
  <c r="H52" i="9"/>
  <c r="I52" i="9"/>
  <c r="G56" i="9"/>
  <c r="H56" i="9"/>
  <c r="I56" i="9"/>
  <c r="G41" i="9"/>
  <c r="H41" i="9"/>
  <c r="I41" i="9"/>
  <c r="G42" i="9"/>
  <c r="H42" i="9"/>
  <c r="I42" i="9"/>
  <c r="G11" i="9"/>
  <c r="G10" i="9" s="1"/>
  <c r="I11" i="9"/>
  <c r="I10" i="9" s="1"/>
  <c r="H11" i="9"/>
  <c r="H10" i="9" s="1"/>
  <c r="H19" i="9"/>
  <c r="G30" i="9"/>
  <c r="H30" i="9"/>
  <c r="I30" i="9"/>
  <c r="I40" i="9" l="1"/>
  <c r="I124" i="9" s="1"/>
  <c r="H40" i="9"/>
  <c r="H124" i="9" s="1"/>
  <c r="G40" i="9"/>
  <c r="G124" i="9" s="1"/>
  <c r="N124" i="9" l="1"/>
  <c r="O124" i="9"/>
  <c r="H110" i="9"/>
  <c r="H111" i="9"/>
  <c r="H112" i="9"/>
  <c r="P124" i="9"/>
  <c r="Q124" i="9"/>
  <c r="I112" i="9"/>
  <c r="I110" i="9"/>
  <c r="I111" i="9"/>
  <c r="G111" i="9"/>
  <c r="G110" i="9"/>
  <c r="F19" i="9"/>
  <c r="E19" i="9"/>
  <c r="F77" i="9"/>
  <c r="F42" i="9"/>
  <c r="F41" i="9"/>
  <c r="P110" i="9" l="1"/>
  <c r="N110" i="9"/>
  <c r="G45" i="9"/>
  <c r="G44" i="9"/>
  <c r="Q112" i="9"/>
  <c r="P112" i="9"/>
  <c r="O111" i="9"/>
  <c r="N111" i="9"/>
  <c r="O110" i="9"/>
  <c r="H44" i="9"/>
  <c r="H45" i="9"/>
  <c r="P111" i="9"/>
  <c r="Q111" i="9"/>
  <c r="Q110" i="9"/>
  <c r="I44" i="9"/>
  <c r="I45" i="9"/>
  <c r="F40" i="9"/>
  <c r="H96" i="9" l="1"/>
  <c r="C104" i="11" s="1"/>
  <c r="H99" i="9"/>
  <c r="C107" i="11" s="1"/>
  <c r="I99" i="9"/>
  <c r="C124" i="11" s="1"/>
  <c r="I96" i="9"/>
  <c r="C121" i="11" s="1"/>
  <c r="G99" i="9"/>
  <c r="C90" i="11" s="1"/>
  <c r="G96" i="9"/>
  <c r="C87" i="11" s="1"/>
  <c r="C171" i="11" l="1"/>
  <c r="AB121" i="11"/>
  <c r="AM121" i="11"/>
  <c r="Y121" i="11"/>
  <c r="W121" i="11"/>
  <c r="T121" i="11"/>
  <c r="J121" i="11"/>
  <c r="F121" i="11"/>
  <c r="Q121" i="11"/>
  <c r="G121" i="11"/>
  <c r="AQ121" i="11"/>
  <c r="AE121" i="11"/>
  <c r="P121" i="11"/>
  <c r="U121" i="11"/>
  <c r="K121" i="11"/>
  <c r="AP121" i="11"/>
  <c r="AJ121" i="11"/>
  <c r="X121" i="11"/>
  <c r="AL121" i="11"/>
  <c r="Z121" i="11"/>
  <c r="S121" i="11"/>
  <c r="AI121" i="11"/>
  <c r="AN121" i="11"/>
  <c r="E121" i="11"/>
  <c r="AH121" i="11"/>
  <c r="N121" i="11"/>
  <c r="L121" i="11"/>
  <c r="I121" i="11"/>
  <c r="AK121" i="11"/>
  <c r="AD121" i="11"/>
  <c r="AA121" i="11"/>
  <c r="V121" i="11"/>
  <c r="AC121" i="11"/>
  <c r="O121" i="11"/>
  <c r="R121" i="11"/>
  <c r="M121" i="11"/>
  <c r="H121" i="11"/>
  <c r="AG121" i="11"/>
  <c r="D121" i="11"/>
  <c r="AO121" i="11"/>
  <c r="AF121" i="11"/>
  <c r="C174" i="11"/>
  <c r="AH124" i="11"/>
  <c r="N124" i="11"/>
  <c r="D124" i="11"/>
  <c r="I124" i="11"/>
  <c r="AD124" i="11"/>
  <c r="AJ124" i="11"/>
  <c r="X124" i="11"/>
  <c r="V124" i="11"/>
  <c r="AC124" i="11"/>
  <c r="O124" i="11"/>
  <c r="Z124" i="11"/>
  <c r="AI124" i="11"/>
  <c r="AM124" i="11"/>
  <c r="M124" i="11"/>
  <c r="W124" i="11"/>
  <c r="AG124" i="11"/>
  <c r="AK124" i="11"/>
  <c r="F124" i="11"/>
  <c r="R124" i="11"/>
  <c r="AB124" i="11"/>
  <c r="E124" i="11"/>
  <c r="H124" i="11"/>
  <c r="AQ124" i="11"/>
  <c r="P124" i="11"/>
  <c r="U124" i="11"/>
  <c r="AA124" i="11"/>
  <c r="AF124" i="11"/>
  <c r="AP124" i="11"/>
  <c r="AO124" i="11"/>
  <c r="Q124" i="11"/>
  <c r="G124" i="11"/>
  <c r="S124" i="11"/>
  <c r="AN124" i="11"/>
  <c r="Y124" i="11"/>
  <c r="AE124" i="11"/>
  <c r="L124" i="11"/>
  <c r="T124" i="11"/>
  <c r="AL124" i="11"/>
  <c r="J124" i="11"/>
  <c r="K124" i="11"/>
  <c r="Z87" i="11"/>
  <c r="AJ87" i="11"/>
  <c r="L87" i="11"/>
  <c r="AC87" i="11"/>
  <c r="D87" i="11"/>
  <c r="J87" i="11"/>
  <c r="AF87" i="11"/>
  <c r="AD87" i="11"/>
  <c r="P87" i="11"/>
  <c r="X87" i="11"/>
  <c r="O87" i="11"/>
  <c r="AA87" i="11"/>
  <c r="AN87" i="11"/>
  <c r="Y87" i="11"/>
  <c r="G87" i="11"/>
  <c r="V87" i="11"/>
  <c r="AH87" i="11"/>
  <c r="H87" i="11"/>
  <c r="U87" i="11"/>
  <c r="I87" i="11"/>
  <c r="AB87" i="11"/>
  <c r="AO87" i="11"/>
  <c r="AG87" i="11"/>
  <c r="E87" i="11"/>
  <c r="M87" i="11"/>
  <c r="Q87" i="11"/>
  <c r="W87" i="11"/>
  <c r="AQ87" i="11"/>
  <c r="K87" i="11"/>
  <c r="S87" i="11"/>
  <c r="T87" i="11"/>
  <c r="AM87" i="11"/>
  <c r="AP87" i="11"/>
  <c r="F87" i="11"/>
  <c r="AI87" i="11"/>
  <c r="N87" i="11"/>
  <c r="AK87" i="11"/>
  <c r="AL87" i="11"/>
  <c r="R87" i="11"/>
  <c r="AE87" i="11"/>
  <c r="C162" i="11"/>
  <c r="AM107" i="11"/>
  <c r="H107" i="11"/>
  <c r="AH107" i="11"/>
  <c r="AD107" i="11"/>
  <c r="N107" i="11"/>
  <c r="K107" i="11"/>
  <c r="AE107" i="11"/>
  <c r="AF107" i="11"/>
  <c r="AJ107" i="11"/>
  <c r="P107" i="11"/>
  <c r="G107" i="11"/>
  <c r="R107" i="11"/>
  <c r="S107" i="11"/>
  <c r="L107" i="11"/>
  <c r="Z107" i="11"/>
  <c r="T107" i="11"/>
  <c r="D107" i="11"/>
  <c r="M107" i="11"/>
  <c r="AK107" i="11"/>
  <c r="F107" i="11"/>
  <c r="AN107" i="11"/>
  <c r="AC107" i="11"/>
  <c r="J107" i="11"/>
  <c r="X107" i="11"/>
  <c r="AO107" i="11"/>
  <c r="Q107" i="11"/>
  <c r="Y107" i="11"/>
  <c r="AB107" i="11"/>
  <c r="AL107" i="11"/>
  <c r="O107" i="11"/>
  <c r="U107" i="11"/>
  <c r="AI107" i="11"/>
  <c r="AG107" i="11"/>
  <c r="AQ107" i="11"/>
  <c r="I107" i="11"/>
  <c r="AP107" i="11"/>
  <c r="W107" i="11"/>
  <c r="E107" i="11"/>
  <c r="AA107" i="11"/>
  <c r="V107" i="11"/>
  <c r="E90" i="11"/>
  <c r="M90" i="11"/>
  <c r="AE90" i="11"/>
  <c r="H90" i="11"/>
  <c r="I90" i="11"/>
  <c r="AI90" i="11"/>
  <c r="Z90" i="11"/>
  <c r="AG90" i="11"/>
  <c r="AK90" i="11"/>
  <c r="Q90" i="11"/>
  <c r="AJ90" i="11"/>
  <c r="AC90" i="11"/>
  <c r="AQ90" i="11"/>
  <c r="K90" i="11"/>
  <c r="R90" i="11"/>
  <c r="AD90" i="11"/>
  <c r="AP90" i="11"/>
  <c r="F90" i="11"/>
  <c r="N90" i="11"/>
  <c r="X90" i="11"/>
  <c r="L90" i="11"/>
  <c r="AL90" i="11"/>
  <c r="D90" i="11"/>
  <c r="O90" i="11"/>
  <c r="Y90" i="11"/>
  <c r="V90" i="11"/>
  <c r="AH90" i="11"/>
  <c r="U90" i="11"/>
  <c r="AF90" i="11"/>
  <c r="AB90" i="11"/>
  <c r="AO90" i="11"/>
  <c r="P90" i="11"/>
  <c r="W90" i="11"/>
  <c r="AA90" i="11"/>
  <c r="AN90" i="11"/>
  <c r="G90" i="11"/>
  <c r="J90" i="11"/>
  <c r="T90" i="11"/>
  <c r="S90" i="11"/>
  <c r="AM90" i="11"/>
  <c r="C159" i="11"/>
  <c r="Z104" i="11"/>
  <c r="J104" i="11"/>
  <c r="X104" i="11"/>
  <c r="M104" i="11"/>
  <c r="U104" i="11"/>
  <c r="I104" i="11"/>
  <c r="I159" i="11" s="1"/>
  <c r="AC104" i="11"/>
  <c r="AM104" i="11"/>
  <c r="H104" i="11"/>
  <c r="AH104" i="11"/>
  <c r="AI104" i="11"/>
  <c r="AD104" i="11"/>
  <c r="AJ104" i="11"/>
  <c r="AP104" i="11"/>
  <c r="R104" i="11"/>
  <c r="V104" i="11"/>
  <c r="T104" i="11"/>
  <c r="O104" i="11"/>
  <c r="AG104" i="11"/>
  <c r="N104" i="11"/>
  <c r="AQ104" i="11"/>
  <c r="AE104" i="11"/>
  <c r="AE159" i="11" s="1"/>
  <c r="AK104" i="11"/>
  <c r="AF104" i="11"/>
  <c r="AA104" i="11"/>
  <c r="AN104" i="11"/>
  <c r="P104" i="11"/>
  <c r="E104" i="11"/>
  <c r="W104" i="11"/>
  <c r="L104" i="11"/>
  <c r="D104" i="11"/>
  <c r="AO104" i="11"/>
  <c r="AO159" i="11" s="1"/>
  <c r="K104" i="11"/>
  <c r="Q104" i="11"/>
  <c r="Y104" i="11"/>
  <c r="F104" i="11"/>
  <c r="F159" i="11" s="1"/>
  <c r="AB104" i="11"/>
  <c r="S104" i="11"/>
  <c r="G104" i="11"/>
  <c r="AL104" i="11"/>
  <c r="AL159" i="11" s="1"/>
  <c r="G61" i="9"/>
  <c r="I61" i="9"/>
  <c r="H61" i="9"/>
  <c r="H101" i="9"/>
  <c r="C109" i="11" s="1"/>
  <c r="I101" i="9"/>
  <c r="C126" i="11" s="1"/>
  <c r="Q99" i="9"/>
  <c r="P99" i="9"/>
  <c r="O99" i="9"/>
  <c r="N99" i="9"/>
  <c r="G101" i="9"/>
  <c r="C92" i="11" s="1"/>
  <c r="G98" i="9"/>
  <c r="C89" i="11" s="1"/>
  <c r="P96" i="9"/>
  <c r="I98" i="9"/>
  <c r="C123" i="11" s="1"/>
  <c r="I100" i="9"/>
  <c r="C125" i="11" s="1"/>
  <c r="Q96" i="9"/>
  <c r="H100" i="9"/>
  <c r="C108" i="11" s="1"/>
  <c r="H98" i="9"/>
  <c r="C106" i="11" s="1"/>
  <c r="N96" i="9"/>
  <c r="O96" i="9"/>
  <c r="Y171" i="11" l="1"/>
  <c r="AL174" i="11"/>
  <c r="Y174" i="11"/>
  <c r="AA174" i="11"/>
  <c r="AJ174" i="11"/>
  <c r="N174" i="11"/>
  <c r="Z171" i="11"/>
  <c r="L159" i="11"/>
  <c r="O159" i="11"/>
  <c r="AF159" i="11"/>
  <c r="V162" i="11"/>
  <c r="AI162" i="11"/>
  <c r="AB162" i="11"/>
  <c r="F162" i="11"/>
  <c r="T162" i="11"/>
  <c r="Y159" i="11"/>
  <c r="X159" i="11"/>
  <c r="AP162" i="11"/>
  <c r="X162" i="11"/>
  <c r="AD162" i="11"/>
  <c r="S159" i="11"/>
  <c r="Q159" i="11"/>
  <c r="AN159" i="11"/>
  <c r="AP159" i="11"/>
  <c r="AH159" i="11"/>
  <c r="J159" i="11"/>
  <c r="AA159" i="11"/>
  <c r="AQ159" i="11"/>
  <c r="AJ159" i="11"/>
  <c r="H159" i="11"/>
  <c r="O162" i="11"/>
  <c r="AC162" i="11"/>
  <c r="P162" i="11"/>
  <c r="H162" i="11"/>
  <c r="S174" i="11"/>
  <c r="AG174" i="11"/>
  <c r="AG171" i="11"/>
  <c r="AI171" i="11"/>
  <c r="X171" i="11"/>
  <c r="G171" i="11"/>
  <c r="AF162" i="11"/>
  <c r="Q174" i="11"/>
  <c r="H174" i="11"/>
  <c r="M174" i="11"/>
  <c r="O174" i="11"/>
  <c r="AO171" i="11"/>
  <c r="M171" i="11"/>
  <c r="V171" i="11"/>
  <c r="E171" i="11"/>
  <c r="F171" i="11"/>
  <c r="W159" i="11"/>
  <c r="T159" i="11"/>
  <c r="U159" i="11"/>
  <c r="I162" i="11"/>
  <c r="U162" i="11"/>
  <c r="Y162" i="11"/>
  <c r="J162" i="11"/>
  <c r="AK162" i="11"/>
  <c r="G162" i="11"/>
  <c r="AN174" i="11"/>
  <c r="AO174" i="11"/>
  <c r="E174" i="11"/>
  <c r="AM174" i="11"/>
  <c r="AC174" i="11"/>
  <c r="D171" i="11"/>
  <c r="R171" i="11"/>
  <c r="AL171" i="11"/>
  <c r="AM171" i="11"/>
  <c r="C175" i="11"/>
  <c r="O125" i="11"/>
  <c r="G125" i="11"/>
  <c r="R125" i="11"/>
  <c r="AN125" i="11"/>
  <c r="M125" i="11"/>
  <c r="AQ125" i="11"/>
  <c r="W125" i="11"/>
  <c r="D125" i="11"/>
  <c r="U125" i="11"/>
  <c r="AK125" i="11"/>
  <c r="K125" i="11"/>
  <c r="AF125" i="11"/>
  <c r="AO125" i="11"/>
  <c r="S125" i="11"/>
  <c r="E125" i="11"/>
  <c r="L125" i="11"/>
  <c r="T125" i="11"/>
  <c r="AA125" i="11"/>
  <c r="J125" i="11"/>
  <c r="F125" i="11"/>
  <c r="Q125" i="11"/>
  <c r="AM125" i="11"/>
  <c r="H125" i="11"/>
  <c r="Y125" i="11"/>
  <c r="AE125" i="11"/>
  <c r="AG125" i="11"/>
  <c r="P125" i="11"/>
  <c r="AP125" i="11"/>
  <c r="AJ125" i="11"/>
  <c r="X125" i="11"/>
  <c r="AC125" i="11"/>
  <c r="AL125" i="11"/>
  <c r="Z125" i="11"/>
  <c r="AI125" i="11"/>
  <c r="AB125" i="11"/>
  <c r="AH125" i="11"/>
  <c r="N125" i="11"/>
  <c r="I125" i="11"/>
  <c r="AD125" i="11"/>
  <c r="V125" i="11"/>
  <c r="AM92" i="11"/>
  <c r="U92" i="11"/>
  <c r="AD92" i="11"/>
  <c r="F92" i="11"/>
  <c r="AB92" i="11"/>
  <c r="Z92" i="11"/>
  <c r="N92" i="11"/>
  <c r="K92" i="11"/>
  <c r="AH92" i="11"/>
  <c r="AA92" i="11"/>
  <c r="AC92" i="11"/>
  <c r="AI92" i="11"/>
  <c r="AG92" i="11"/>
  <c r="S92" i="11"/>
  <c r="AP92" i="11"/>
  <c r="AE92" i="11"/>
  <c r="W92" i="11"/>
  <c r="L92" i="11"/>
  <c r="Y92" i="11"/>
  <c r="AN92" i="11"/>
  <c r="AF92" i="11"/>
  <c r="G92" i="11"/>
  <c r="J92" i="11"/>
  <c r="X92" i="11"/>
  <c r="Q92" i="11"/>
  <c r="O92" i="11"/>
  <c r="AJ92" i="11"/>
  <c r="V92" i="11"/>
  <c r="I92" i="11"/>
  <c r="AK92" i="11"/>
  <c r="M92" i="11"/>
  <c r="H92" i="11"/>
  <c r="T92" i="11"/>
  <c r="AL92" i="11"/>
  <c r="P92" i="11"/>
  <c r="E92" i="11"/>
  <c r="D92" i="11"/>
  <c r="AO92" i="11"/>
  <c r="R92" i="11"/>
  <c r="AQ92" i="11"/>
  <c r="R162" i="11"/>
  <c r="F174" i="11"/>
  <c r="I171" i="11"/>
  <c r="AP171" i="11"/>
  <c r="AE171" i="11"/>
  <c r="C161" i="11"/>
  <c r="AD106" i="11"/>
  <c r="N106" i="11"/>
  <c r="Q106" i="11"/>
  <c r="E106" i="11"/>
  <c r="S106" i="11"/>
  <c r="Z106" i="11"/>
  <c r="D106" i="11"/>
  <c r="O106" i="11"/>
  <c r="AI106" i="11"/>
  <c r="AG106" i="11"/>
  <c r="AO106" i="11"/>
  <c r="K106" i="11"/>
  <c r="AE106" i="11"/>
  <c r="Y106" i="11"/>
  <c r="I106" i="11"/>
  <c r="AK106" i="11"/>
  <c r="AB106" i="11"/>
  <c r="AA106" i="11"/>
  <c r="AN106" i="11"/>
  <c r="P106" i="11"/>
  <c r="V106" i="11"/>
  <c r="AL106" i="11"/>
  <c r="L106" i="11"/>
  <c r="AM106" i="11"/>
  <c r="X106" i="11"/>
  <c r="H106" i="11"/>
  <c r="AH106" i="11"/>
  <c r="U106" i="11"/>
  <c r="F106" i="11"/>
  <c r="J106" i="11"/>
  <c r="T106" i="11"/>
  <c r="M106" i="11"/>
  <c r="AQ106" i="11"/>
  <c r="AJ106" i="11"/>
  <c r="AP106" i="11"/>
  <c r="R106" i="11"/>
  <c r="W106" i="11"/>
  <c r="AC106" i="11"/>
  <c r="G106" i="11"/>
  <c r="AF106" i="11"/>
  <c r="C173" i="11"/>
  <c r="AN123" i="11"/>
  <c r="H123" i="11"/>
  <c r="N123" i="11"/>
  <c r="L123" i="11"/>
  <c r="AG123" i="11"/>
  <c r="AG173" i="11" s="1"/>
  <c r="AD123" i="11"/>
  <c r="AJ123" i="11"/>
  <c r="V123" i="11"/>
  <c r="O123" i="11"/>
  <c r="Z123" i="11"/>
  <c r="AI123" i="11"/>
  <c r="R123" i="11"/>
  <c r="AB123" i="11"/>
  <c r="AM123" i="11"/>
  <c r="M123" i="11"/>
  <c r="M173" i="11" s="1"/>
  <c r="Y123" i="11"/>
  <c r="AH123" i="11"/>
  <c r="D123" i="11"/>
  <c r="D173" i="11" s="1"/>
  <c r="I123" i="11"/>
  <c r="AK123" i="11"/>
  <c r="K123" i="11"/>
  <c r="AF123" i="11"/>
  <c r="AO123" i="11"/>
  <c r="Q123" i="11"/>
  <c r="G123" i="11"/>
  <c r="S123" i="11"/>
  <c r="AQ123" i="11"/>
  <c r="W123" i="11"/>
  <c r="W173" i="11" s="1"/>
  <c r="U123" i="11"/>
  <c r="F123" i="11"/>
  <c r="E123" i="11"/>
  <c r="E173" i="11" s="1"/>
  <c r="AE123" i="11"/>
  <c r="AE173" i="11" s="1"/>
  <c r="P123" i="11"/>
  <c r="T123" i="11"/>
  <c r="T173" i="11" s="1"/>
  <c r="AA123" i="11"/>
  <c r="AP123" i="11"/>
  <c r="X123" i="11"/>
  <c r="AC123" i="11"/>
  <c r="AL123" i="11"/>
  <c r="J123" i="11"/>
  <c r="C176" i="11"/>
  <c r="AE126" i="11"/>
  <c r="AC126" i="11"/>
  <c r="AA126" i="11"/>
  <c r="R126" i="11"/>
  <c r="AD126" i="11"/>
  <c r="AM126" i="11"/>
  <c r="H126" i="11"/>
  <c r="AF126" i="11"/>
  <c r="G126" i="11"/>
  <c r="AB126" i="11"/>
  <c r="AO126" i="11"/>
  <c r="V126" i="11"/>
  <c r="F126" i="11"/>
  <c r="AK126" i="11"/>
  <c r="O126" i="11"/>
  <c r="Z126" i="11"/>
  <c r="I126" i="11"/>
  <c r="Y126" i="11"/>
  <c r="T126" i="11"/>
  <c r="W126" i="11"/>
  <c r="E126" i="11"/>
  <c r="K126" i="11"/>
  <c r="X126" i="11"/>
  <c r="U126" i="11"/>
  <c r="N126" i="11"/>
  <c r="AL126" i="11"/>
  <c r="Q126" i="11"/>
  <c r="J126" i="11"/>
  <c r="AP126" i="11"/>
  <c r="AH126" i="11"/>
  <c r="AQ126" i="11"/>
  <c r="AG126" i="11"/>
  <c r="D126" i="11"/>
  <c r="AI126" i="11"/>
  <c r="S126" i="11"/>
  <c r="P126" i="11"/>
  <c r="AN126" i="11"/>
  <c r="AJ126" i="11"/>
  <c r="M126" i="11"/>
  <c r="L126" i="11"/>
  <c r="AB159" i="11"/>
  <c r="K159" i="11"/>
  <c r="Z159" i="11"/>
  <c r="AA162" i="11"/>
  <c r="Z162" i="11"/>
  <c r="AE162" i="11"/>
  <c r="AH162" i="11"/>
  <c r="T174" i="11"/>
  <c r="U174" i="11"/>
  <c r="AK174" i="11"/>
  <c r="AD174" i="11"/>
  <c r="AH174" i="11"/>
  <c r="AA171" i="11"/>
  <c r="L171" i="11"/>
  <c r="AN171" i="11"/>
  <c r="K171" i="11"/>
  <c r="AQ171" i="11"/>
  <c r="J171" i="11"/>
  <c r="T108" i="11"/>
  <c r="D108" i="11"/>
  <c r="AI108" i="11"/>
  <c r="AG108" i="11"/>
  <c r="AQ108" i="11"/>
  <c r="AO108" i="11"/>
  <c r="Y108" i="11"/>
  <c r="F108" i="11"/>
  <c r="AB108" i="11"/>
  <c r="AA108" i="11"/>
  <c r="AN108" i="11"/>
  <c r="AL108" i="11"/>
  <c r="J108" i="11"/>
  <c r="X108" i="11"/>
  <c r="O108" i="11"/>
  <c r="U108" i="11"/>
  <c r="Q108" i="11"/>
  <c r="G108" i="11"/>
  <c r="E108" i="11"/>
  <c r="W108" i="11"/>
  <c r="L108" i="11"/>
  <c r="M108" i="11"/>
  <c r="H108" i="11"/>
  <c r="K108" i="11"/>
  <c r="I108" i="11"/>
  <c r="AF108" i="11"/>
  <c r="AJ108" i="11"/>
  <c r="AP108" i="11"/>
  <c r="AC108" i="11"/>
  <c r="R108" i="11"/>
  <c r="V108" i="11"/>
  <c r="S108" i="11"/>
  <c r="Z108" i="11"/>
  <c r="AM108" i="11"/>
  <c r="AH108" i="11"/>
  <c r="AD108" i="11"/>
  <c r="N108" i="11"/>
  <c r="AE108" i="11"/>
  <c r="AK108" i="11"/>
  <c r="P108" i="11"/>
  <c r="C164" i="11"/>
  <c r="AE109" i="11"/>
  <c r="AE164" i="11" s="1"/>
  <c r="I109" i="11"/>
  <c r="I164" i="11" s="1"/>
  <c r="AK109" i="11"/>
  <c r="AK164" i="11" s="1"/>
  <c r="AA109" i="11"/>
  <c r="E109" i="11"/>
  <c r="E164" i="11" s="1"/>
  <c r="K109" i="11"/>
  <c r="Z109" i="11"/>
  <c r="Z164" i="11" s="1"/>
  <c r="F109" i="11"/>
  <c r="W109" i="11"/>
  <c r="M109" i="11"/>
  <c r="D109" i="11"/>
  <c r="AD109" i="11"/>
  <c r="AD164" i="11" s="1"/>
  <c r="AP109" i="11"/>
  <c r="Y109" i="11"/>
  <c r="AM109" i="11"/>
  <c r="R109" i="11"/>
  <c r="R164" i="11" s="1"/>
  <c r="AL109" i="11"/>
  <c r="L109" i="11"/>
  <c r="N109" i="11"/>
  <c r="AQ109" i="11"/>
  <c r="AJ109" i="11"/>
  <c r="U109" i="11"/>
  <c r="AF109" i="11"/>
  <c r="AC109" i="11"/>
  <c r="AC164" i="11" s="1"/>
  <c r="P109" i="11"/>
  <c r="AI109" i="11"/>
  <c r="AN109" i="11"/>
  <c r="Q109" i="11"/>
  <c r="J109" i="11"/>
  <c r="T109" i="11"/>
  <c r="T164" i="11" s="1"/>
  <c r="AG109" i="11"/>
  <c r="H109" i="11"/>
  <c r="AB109" i="11"/>
  <c r="AH109" i="11"/>
  <c r="AH164" i="11" s="1"/>
  <c r="X109" i="11"/>
  <c r="G109" i="11"/>
  <c r="O109" i="11"/>
  <c r="V109" i="11"/>
  <c r="S109" i="11"/>
  <c r="S164" i="11" s="1"/>
  <c r="AO109" i="11"/>
  <c r="E159" i="11"/>
  <c r="N159" i="11"/>
  <c r="V159" i="11"/>
  <c r="AD159" i="11"/>
  <c r="AM159" i="11"/>
  <c r="M159" i="11"/>
  <c r="E162" i="11"/>
  <c r="AQ162" i="11"/>
  <c r="Q162" i="11"/>
  <c r="M162" i="11"/>
  <c r="L162" i="11"/>
  <c r="K162" i="11"/>
  <c r="K174" i="11"/>
  <c r="L174" i="11"/>
  <c r="AP174" i="11"/>
  <c r="P174" i="11"/>
  <c r="AB174" i="11"/>
  <c r="AI174" i="11"/>
  <c r="V174" i="11"/>
  <c r="I174" i="11"/>
  <c r="O171" i="11"/>
  <c r="AD171" i="11"/>
  <c r="N171" i="11"/>
  <c r="U171" i="11"/>
  <c r="T171" i="11"/>
  <c r="AB171" i="11"/>
  <c r="AG89" i="11"/>
  <c r="Q89" i="11"/>
  <c r="AQ89" i="11"/>
  <c r="AN89" i="11"/>
  <c r="Y89" i="11"/>
  <c r="S89" i="11"/>
  <c r="T89" i="11"/>
  <c r="AP89" i="11"/>
  <c r="AO89" i="11"/>
  <c r="F89" i="11"/>
  <c r="N89" i="11"/>
  <c r="E89" i="11"/>
  <c r="M89" i="11"/>
  <c r="W89" i="11"/>
  <c r="AL89" i="11"/>
  <c r="D89" i="11"/>
  <c r="AE89" i="11"/>
  <c r="AM89" i="11"/>
  <c r="AF89" i="11"/>
  <c r="AI89" i="11"/>
  <c r="AK89" i="11"/>
  <c r="AJ89" i="11"/>
  <c r="AC89" i="11"/>
  <c r="AA89" i="11"/>
  <c r="G89" i="11"/>
  <c r="J89" i="11"/>
  <c r="I89" i="11"/>
  <c r="R89" i="11"/>
  <c r="AD89" i="11"/>
  <c r="Z89" i="11"/>
  <c r="X89" i="11"/>
  <c r="L89" i="11"/>
  <c r="K89" i="11"/>
  <c r="O89" i="11"/>
  <c r="H89" i="11"/>
  <c r="P89" i="11"/>
  <c r="AB89" i="11"/>
  <c r="V89" i="11"/>
  <c r="U89" i="11"/>
  <c r="AH89" i="11"/>
  <c r="G159" i="11"/>
  <c r="D159" i="11"/>
  <c r="P159" i="11"/>
  <c r="AK159" i="11"/>
  <c r="AG159" i="11"/>
  <c r="R159" i="11"/>
  <c r="AI159" i="11"/>
  <c r="AC159" i="11"/>
  <c r="W162" i="11"/>
  <c r="AG162" i="11"/>
  <c r="AL162" i="11"/>
  <c r="AO162" i="11"/>
  <c r="AN162" i="11"/>
  <c r="D162" i="11"/>
  <c r="S162" i="11"/>
  <c r="AJ162" i="11"/>
  <c r="N162" i="11"/>
  <c r="AM162" i="11"/>
  <c r="J174" i="11"/>
  <c r="AE174" i="11"/>
  <c r="G174" i="11"/>
  <c r="AF174" i="11"/>
  <c r="AQ174" i="11"/>
  <c r="R174" i="11"/>
  <c r="W174" i="11"/>
  <c r="Z174" i="11"/>
  <c r="X174" i="11"/>
  <c r="D174" i="11"/>
  <c r="AF171" i="11"/>
  <c r="H171" i="11"/>
  <c r="AC171" i="11"/>
  <c r="AK171" i="11"/>
  <c r="AH171" i="11"/>
  <c r="S171" i="11"/>
  <c r="AJ171" i="11"/>
  <c r="P171" i="11"/>
  <c r="Q171" i="11"/>
  <c r="W171" i="11"/>
  <c r="Q101" i="9"/>
  <c r="P101" i="9"/>
  <c r="I26" i="9"/>
  <c r="I24" i="9" s="1"/>
  <c r="I23" i="9" s="1"/>
  <c r="I103" i="9"/>
  <c r="C128" i="11" s="1"/>
  <c r="H26" i="9"/>
  <c r="H103" i="9"/>
  <c r="N98" i="9"/>
  <c r="O98" i="9"/>
  <c r="P100" i="9"/>
  <c r="Q100" i="9"/>
  <c r="G62" i="9"/>
  <c r="G102" i="9" s="1"/>
  <c r="C93" i="11" s="1"/>
  <c r="G97" i="9"/>
  <c r="Q98" i="9"/>
  <c r="P98" i="9"/>
  <c r="I62" i="9"/>
  <c r="I102" i="9" s="1"/>
  <c r="C127" i="11" s="1"/>
  <c r="I97" i="9"/>
  <c r="G26" i="9"/>
  <c r="G24" i="9" s="1"/>
  <c r="N101" i="9"/>
  <c r="H62" i="9"/>
  <c r="H102" i="9" s="1"/>
  <c r="C110" i="11" s="1"/>
  <c r="H97" i="9"/>
  <c r="O101" i="9"/>
  <c r="E114" i="9"/>
  <c r="E113" i="9"/>
  <c r="V173" i="11" l="1"/>
  <c r="C165" i="11"/>
  <c r="V164" i="11"/>
  <c r="AI164" i="11"/>
  <c r="K164" i="11"/>
  <c r="AC173" i="11"/>
  <c r="Z173" i="11"/>
  <c r="AI173" i="11"/>
  <c r="J164" i="11"/>
  <c r="P164" i="11"/>
  <c r="AJ164" i="11"/>
  <c r="AP164" i="11"/>
  <c r="R176" i="11"/>
  <c r="X173" i="11"/>
  <c r="AB173" i="11"/>
  <c r="Y161" i="11"/>
  <c r="AG161" i="11"/>
  <c r="N175" i="11"/>
  <c r="Z175" i="11"/>
  <c r="Q175" i="11"/>
  <c r="T175" i="11"/>
  <c r="N164" i="11"/>
  <c r="AQ173" i="11"/>
  <c r="Y164" i="11"/>
  <c r="M164" i="11"/>
  <c r="AP176" i="11"/>
  <c r="E176" i="11"/>
  <c r="F176" i="11"/>
  <c r="G176" i="11"/>
  <c r="AD176" i="11"/>
  <c r="AE176" i="11"/>
  <c r="F173" i="11"/>
  <c r="S173" i="11"/>
  <c r="AD173" i="11"/>
  <c r="H173" i="11"/>
  <c r="G161" i="11"/>
  <c r="AO161" i="11"/>
  <c r="Q161" i="11"/>
  <c r="I175" i="11"/>
  <c r="X175" i="11"/>
  <c r="AM175" i="11"/>
  <c r="AA175" i="11"/>
  <c r="AQ175" i="11"/>
  <c r="G175" i="11"/>
  <c r="X164" i="11"/>
  <c r="AG164" i="11"/>
  <c r="AN164" i="11"/>
  <c r="AF164" i="11"/>
  <c r="AM164" i="11"/>
  <c r="D164" i="11"/>
  <c r="AJ176" i="11"/>
  <c r="AI176" i="11"/>
  <c r="AH176" i="11"/>
  <c r="AL176" i="11"/>
  <c r="K176" i="11"/>
  <c r="Y176" i="11"/>
  <c r="AB176" i="11"/>
  <c r="AC176" i="11"/>
  <c r="AL173" i="11"/>
  <c r="AA173" i="11"/>
  <c r="AO173" i="11"/>
  <c r="I173" i="11"/>
  <c r="AJ173" i="11"/>
  <c r="N173" i="11"/>
  <c r="AF161" i="11"/>
  <c r="M161" i="11"/>
  <c r="U161" i="11"/>
  <c r="AM161" i="11"/>
  <c r="AK161" i="11"/>
  <c r="K161" i="11"/>
  <c r="O161" i="11"/>
  <c r="AB175" i="11"/>
  <c r="AC175" i="11"/>
  <c r="H175" i="11"/>
  <c r="J175" i="11"/>
  <c r="E175" i="11"/>
  <c r="R175" i="11"/>
  <c r="C112" i="11"/>
  <c r="C111" i="11"/>
  <c r="AK176" i="11"/>
  <c r="AM176" i="11"/>
  <c r="R161" i="11"/>
  <c r="P161" i="11"/>
  <c r="E161" i="11"/>
  <c r="AD175" i="11"/>
  <c r="P175" i="11"/>
  <c r="K175" i="11"/>
  <c r="W175" i="11"/>
  <c r="U164" i="11"/>
  <c r="L164" i="11"/>
  <c r="AN176" i="11"/>
  <c r="D176" i="11"/>
  <c r="N176" i="11"/>
  <c r="I176" i="11"/>
  <c r="AF173" i="11"/>
  <c r="AM173" i="11"/>
  <c r="AP161" i="11"/>
  <c r="T161" i="11"/>
  <c r="AH161" i="11"/>
  <c r="L161" i="11"/>
  <c r="AN161" i="11"/>
  <c r="I161" i="11"/>
  <c r="D161" i="11"/>
  <c r="AI175" i="11"/>
  <c r="AG175" i="11"/>
  <c r="S175" i="11"/>
  <c r="AK175" i="11"/>
  <c r="C105" i="11"/>
  <c r="C122" i="11"/>
  <c r="C88" i="11"/>
  <c r="AK128" i="11"/>
  <c r="F128" i="11"/>
  <c r="AM128" i="11"/>
  <c r="AC128" i="11"/>
  <c r="L128" i="11"/>
  <c r="AN128" i="11"/>
  <c r="AQ128" i="11"/>
  <c r="AL128" i="11"/>
  <c r="E128" i="11"/>
  <c r="T128" i="11"/>
  <c r="V128" i="11"/>
  <c r="AF128" i="11"/>
  <c r="AD128" i="11"/>
  <c r="AE128" i="11"/>
  <c r="M128" i="11"/>
  <c r="AH128" i="11"/>
  <c r="AP128" i="11"/>
  <c r="N128" i="11"/>
  <c r="K128" i="11"/>
  <c r="W128" i="11"/>
  <c r="Y128" i="11"/>
  <c r="Z128" i="11"/>
  <c r="AO128" i="11"/>
  <c r="G128" i="11"/>
  <c r="H128" i="11"/>
  <c r="R128" i="11"/>
  <c r="P128" i="11"/>
  <c r="AI128" i="11"/>
  <c r="AG128" i="11"/>
  <c r="J128" i="11"/>
  <c r="U128" i="11"/>
  <c r="I128" i="11"/>
  <c r="O128" i="11"/>
  <c r="AB128" i="11"/>
  <c r="AA128" i="11"/>
  <c r="AJ128" i="11"/>
  <c r="S128" i="11"/>
  <c r="D128" i="11"/>
  <c r="Q128" i="11"/>
  <c r="X128" i="11"/>
  <c r="O164" i="11"/>
  <c r="AB164" i="11"/>
  <c r="AL164" i="11"/>
  <c r="W164" i="11"/>
  <c r="L176" i="11"/>
  <c r="P176" i="11"/>
  <c r="AG176" i="11"/>
  <c r="J176" i="11"/>
  <c r="U176" i="11"/>
  <c r="W176" i="11"/>
  <c r="Z176" i="11"/>
  <c r="V176" i="11"/>
  <c r="AF176" i="11"/>
  <c r="P173" i="11"/>
  <c r="U173" i="11"/>
  <c r="G173" i="11"/>
  <c r="K173" i="11"/>
  <c r="AH173" i="11"/>
  <c r="O173" i="11"/>
  <c r="AN173" i="11"/>
  <c r="AC161" i="11"/>
  <c r="AJ161" i="11"/>
  <c r="J161" i="11"/>
  <c r="H161" i="11"/>
  <c r="AL161" i="11"/>
  <c r="AA161" i="11"/>
  <c r="Z161" i="11"/>
  <c r="N161" i="11"/>
  <c r="AJ175" i="11"/>
  <c r="AE175" i="11"/>
  <c r="AO175" i="11"/>
  <c r="U175" i="11"/>
  <c r="M175" i="11"/>
  <c r="O175" i="11"/>
  <c r="C177" i="11"/>
  <c r="AO164" i="11"/>
  <c r="G164" i="11"/>
  <c r="H164" i="11"/>
  <c r="Q164" i="11"/>
  <c r="AQ164" i="11"/>
  <c r="F164" i="11"/>
  <c r="AA164" i="11"/>
  <c r="M176" i="11"/>
  <c r="S176" i="11"/>
  <c r="AQ176" i="11"/>
  <c r="Q176" i="11"/>
  <c r="X176" i="11"/>
  <c r="T176" i="11"/>
  <c r="O176" i="11"/>
  <c r="AO176" i="11"/>
  <c r="H176" i="11"/>
  <c r="AA176" i="11"/>
  <c r="J173" i="11"/>
  <c r="AP173" i="11"/>
  <c r="Q173" i="11"/>
  <c r="AK173" i="11"/>
  <c r="Y173" i="11"/>
  <c r="R173" i="11"/>
  <c r="L173" i="11"/>
  <c r="W161" i="11"/>
  <c r="AQ161" i="11"/>
  <c r="F161" i="11"/>
  <c r="X161" i="11"/>
  <c r="V161" i="11"/>
  <c r="AB161" i="11"/>
  <c r="AE161" i="11"/>
  <c r="AI161" i="11"/>
  <c r="S161" i="11"/>
  <c r="AD161" i="11"/>
  <c r="V175" i="11"/>
  <c r="AH175" i="11"/>
  <c r="AL175" i="11"/>
  <c r="AP175" i="11"/>
  <c r="Y175" i="11"/>
  <c r="F175" i="11"/>
  <c r="L175" i="11"/>
  <c r="AF175" i="11"/>
  <c r="D175" i="11"/>
  <c r="AN175" i="11"/>
  <c r="I25" i="9"/>
  <c r="I31" i="9" s="1"/>
  <c r="I32" i="9" s="1"/>
  <c r="H24" i="9"/>
  <c r="H23" i="9" s="1"/>
  <c r="H25" i="9"/>
  <c r="H31" i="9" s="1"/>
  <c r="P103" i="9"/>
  <c r="Q103" i="9"/>
  <c r="O97" i="9"/>
  <c r="N97" i="9"/>
  <c r="Q97" i="9"/>
  <c r="P97" i="9"/>
  <c r="I104" i="9"/>
  <c r="I29" i="9"/>
  <c r="O102" i="9"/>
  <c r="N102" i="9"/>
  <c r="Q102" i="9"/>
  <c r="P102" i="9"/>
  <c r="G23" i="9"/>
  <c r="G25" i="9"/>
  <c r="G31" i="9" s="1"/>
  <c r="E55" i="9"/>
  <c r="G22" i="9" l="1"/>
  <c r="N88" i="11"/>
  <c r="X88" i="11"/>
  <c r="AK88" i="11"/>
  <c r="W88" i="11"/>
  <c r="AL88" i="11"/>
  <c r="K88" i="11"/>
  <c r="O88" i="11"/>
  <c r="AA88" i="11"/>
  <c r="G88" i="11"/>
  <c r="V88" i="11"/>
  <c r="AH88" i="11"/>
  <c r="U88" i="11"/>
  <c r="AM88" i="11"/>
  <c r="R88" i="11"/>
  <c r="AB88" i="11"/>
  <c r="L88" i="11"/>
  <c r="S88" i="11"/>
  <c r="J88" i="11"/>
  <c r="T88" i="11"/>
  <c r="P88" i="11"/>
  <c r="Z88" i="11"/>
  <c r="AN88" i="11"/>
  <c r="AE88" i="11"/>
  <c r="H88" i="11"/>
  <c r="AG88" i="11"/>
  <c r="E88" i="11"/>
  <c r="M88" i="11"/>
  <c r="Q88" i="11"/>
  <c r="AJ88" i="11"/>
  <c r="AC88" i="11"/>
  <c r="AQ88" i="11"/>
  <c r="D88" i="11"/>
  <c r="Y88" i="11"/>
  <c r="I88" i="11"/>
  <c r="AP88" i="11"/>
  <c r="AF88" i="11"/>
  <c r="AI88" i="11"/>
  <c r="AO88" i="11"/>
  <c r="AD88" i="11"/>
  <c r="F88" i="11"/>
  <c r="C160" i="11"/>
  <c r="L105" i="11"/>
  <c r="O105" i="11"/>
  <c r="O160" i="11" s="1"/>
  <c r="AO105" i="11"/>
  <c r="AE105" i="11"/>
  <c r="Q105" i="11"/>
  <c r="I105" i="11"/>
  <c r="AK105" i="11"/>
  <c r="AP105" i="11"/>
  <c r="E105" i="11"/>
  <c r="E160" i="11" s="1"/>
  <c r="V105" i="11"/>
  <c r="W105" i="11"/>
  <c r="W160" i="11" s="1"/>
  <c r="M105" i="11"/>
  <c r="N105" i="11"/>
  <c r="AQ105" i="11"/>
  <c r="AQ160" i="11" s="1"/>
  <c r="AB105" i="11"/>
  <c r="AF105" i="11"/>
  <c r="S105" i="11"/>
  <c r="Z105" i="11"/>
  <c r="J105" i="11"/>
  <c r="AM105" i="11"/>
  <c r="AM160" i="11" s="1"/>
  <c r="D105" i="11"/>
  <c r="AH105" i="11"/>
  <c r="AH160" i="11" s="1"/>
  <c r="U105" i="11"/>
  <c r="U160" i="11" s="1"/>
  <c r="AI105" i="11"/>
  <c r="AI160" i="11" s="1"/>
  <c r="AD105" i="11"/>
  <c r="F105" i="11"/>
  <c r="AA105" i="11"/>
  <c r="AA160" i="11" s="1"/>
  <c r="P105" i="11"/>
  <c r="G105" i="11"/>
  <c r="AC105" i="11"/>
  <c r="AL105" i="11"/>
  <c r="T105" i="11"/>
  <c r="X105" i="11"/>
  <c r="X160" i="11" s="1"/>
  <c r="H105" i="11"/>
  <c r="AG105" i="11"/>
  <c r="K105" i="11"/>
  <c r="Y105" i="11"/>
  <c r="AJ105" i="11"/>
  <c r="R105" i="11"/>
  <c r="AN105" i="11"/>
  <c r="W111" i="11"/>
  <c r="W178" i="11" s="1"/>
  <c r="Z111" i="11"/>
  <c r="Z178" i="11" s="1"/>
  <c r="AK111" i="11"/>
  <c r="AK178" i="11" s="1"/>
  <c r="V111" i="11"/>
  <c r="V178" i="11" s="1"/>
  <c r="AG111" i="11"/>
  <c r="AG178" i="11" s="1"/>
  <c r="AN111" i="11"/>
  <c r="AN178" i="11" s="1"/>
  <c r="AI111" i="11"/>
  <c r="AI178" i="11" s="1"/>
  <c r="U111" i="11"/>
  <c r="U178" i="11" s="1"/>
  <c r="AL111" i="11"/>
  <c r="AL178" i="11" s="1"/>
  <c r="G111" i="11"/>
  <c r="G178" i="11" s="1"/>
  <c r="D111" i="11"/>
  <c r="D178" i="11" s="1"/>
  <c r="AD111" i="11"/>
  <c r="AD178" i="11" s="1"/>
  <c r="I111" i="11"/>
  <c r="I178" i="11" s="1"/>
  <c r="S111" i="11"/>
  <c r="S178" i="11" s="1"/>
  <c r="O111" i="11"/>
  <c r="O178" i="11" s="1"/>
  <c r="T111" i="11"/>
  <c r="T178" i="11" s="1"/>
  <c r="P111" i="11"/>
  <c r="P178" i="11" s="1"/>
  <c r="AM111" i="11"/>
  <c r="AM178" i="11" s="1"/>
  <c r="AP111" i="11"/>
  <c r="AP178" i="11" s="1"/>
  <c r="E111" i="11"/>
  <c r="E178" i="11" s="1"/>
  <c r="AO111" i="11"/>
  <c r="AO178" i="11" s="1"/>
  <c r="AB111" i="11"/>
  <c r="AB178" i="11" s="1"/>
  <c r="J111" i="11"/>
  <c r="J178" i="11" s="1"/>
  <c r="AC111" i="11"/>
  <c r="AC178" i="11" s="1"/>
  <c r="AJ111" i="11"/>
  <c r="AQ111" i="11"/>
  <c r="AQ178" i="11" s="1"/>
  <c r="Y111" i="11"/>
  <c r="Y178" i="11" s="1"/>
  <c r="M111" i="11"/>
  <c r="M178" i="11" s="1"/>
  <c r="F111" i="11"/>
  <c r="F178" i="11" s="1"/>
  <c r="K111" i="11"/>
  <c r="K178" i="11" s="1"/>
  <c r="AA111" i="11"/>
  <c r="AA178" i="11" s="1"/>
  <c r="X111" i="11"/>
  <c r="X178" i="11" s="1"/>
  <c r="H111" i="11"/>
  <c r="H178" i="11" s="1"/>
  <c r="Q111" i="11"/>
  <c r="Q178" i="11" s="1"/>
  <c r="AF111" i="11"/>
  <c r="AF178" i="11" s="1"/>
  <c r="AE111" i="11"/>
  <c r="AE178" i="11" s="1"/>
  <c r="N111" i="11"/>
  <c r="N178" i="11" s="1"/>
  <c r="L111" i="11"/>
  <c r="L178" i="11" s="1"/>
  <c r="R111" i="11"/>
  <c r="R178" i="11" s="1"/>
  <c r="AH111" i="11"/>
  <c r="AH178" i="11" s="1"/>
  <c r="AJ178" i="11"/>
  <c r="C178" i="11"/>
  <c r="C172" i="11"/>
  <c r="G122" i="11"/>
  <c r="Z122" i="11"/>
  <c r="S122" i="11"/>
  <c r="AI122" i="11"/>
  <c r="E122" i="11"/>
  <c r="AE122" i="11"/>
  <c r="P122" i="11"/>
  <c r="AA122" i="11"/>
  <c r="AP122" i="11"/>
  <c r="X122" i="11"/>
  <c r="AL122" i="11"/>
  <c r="AN122" i="11"/>
  <c r="H122" i="11"/>
  <c r="Y122" i="11"/>
  <c r="AH122" i="11"/>
  <c r="N122" i="11"/>
  <c r="AG122" i="11"/>
  <c r="AD122" i="11"/>
  <c r="AO122" i="11"/>
  <c r="V122" i="11"/>
  <c r="AC122" i="11"/>
  <c r="O122" i="11"/>
  <c r="R122" i="11"/>
  <c r="M122" i="11"/>
  <c r="T122" i="11"/>
  <c r="D122" i="11"/>
  <c r="K122" i="11"/>
  <c r="J122" i="11"/>
  <c r="AB122" i="11"/>
  <c r="AM122" i="11"/>
  <c r="AQ122" i="11"/>
  <c r="L122" i="11"/>
  <c r="W122" i="11"/>
  <c r="I122" i="11"/>
  <c r="U122" i="11"/>
  <c r="AK122" i="11"/>
  <c r="AJ122" i="11"/>
  <c r="AF122" i="11"/>
  <c r="F122" i="11"/>
  <c r="Q122" i="11"/>
  <c r="G29" i="9"/>
  <c r="G28" i="9" s="1"/>
  <c r="C129" i="11"/>
  <c r="C179" i="11" s="1"/>
  <c r="I33" i="9"/>
  <c r="I127" i="9" s="1"/>
  <c r="I22" i="9"/>
  <c r="I28" i="9"/>
  <c r="H33" i="9"/>
  <c r="H32" i="9"/>
  <c r="H104" i="9"/>
  <c r="H29" i="9"/>
  <c r="H28" i="9" s="1"/>
  <c r="H22" i="9"/>
  <c r="G33" i="9"/>
  <c r="G32" i="9"/>
  <c r="G104" i="9"/>
  <c r="I119" i="9"/>
  <c r="I128" i="9"/>
  <c r="I114" i="9" s="1"/>
  <c r="I105" i="9"/>
  <c r="I106" i="9"/>
  <c r="C61" i="11"/>
  <c r="I172" i="11" l="1"/>
  <c r="O172" i="11"/>
  <c r="Z172" i="11"/>
  <c r="AB160" i="11"/>
  <c r="AK160" i="11"/>
  <c r="Q172" i="11"/>
  <c r="L172" i="11"/>
  <c r="M172" i="11"/>
  <c r="N172" i="11"/>
  <c r="AN172" i="11"/>
  <c r="AI172" i="11"/>
  <c r="K160" i="11"/>
  <c r="D172" i="11"/>
  <c r="AD172" i="11"/>
  <c r="Y172" i="11"/>
  <c r="X172" i="11"/>
  <c r="R160" i="11"/>
  <c r="J160" i="11"/>
  <c r="AO160" i="11"/>
  <c r="S172" i="11"/>
  <c r="AN160" i="11"/>
  <c r="E172" i="11"/>
  <c r="G172" i="11"/>
  <c r="AC160" i="11"/>
  <c r="V160" i="11"/>
  <c r="I160" i="11"/>
  <c r="F172" i="11"/>
  <c r="U172" i="11"/>
  <c r="AQ172" i="11"/>
  <c r="R172" i="11"/>
  <c r="AO172" i="11"/>
  <c r="AH172" i="11"/>
  <c r="AL172" i="11"/>
  <c r="T160" i="11"/>
  <c r="P160" i="11"/>
  <c r="AF160" i="11"/>
  <c r="M160" i="11"/>
  <c r="AP160" i="11"/>
  <c r="AE160" i="11"/>
  <c r="AK172" i="11"/>
  <c r="J172" i="11"/>
  <c r="V172" i="11"/>
  <c r="AA172" i="11"/>
  <c r="K172" i="11"/>
  <c r="P172" i="11"/>
  <c r="AG160" i="11"/>
  <c r="AL160" i="11"/>
  <c r="AF172" i="11"/>
  <c r="AM172" i="11"/>
  <c r="AE172" i="11"/>
  <c r="AJ160" i="11"/>
  <c r="H160" i="11"/>
  <c r="F160" i="11"/>
  <c r="Z160" i="11"/>
  <c r="AJ172" i="11"/>
  <c r="W172" i="11"/>
  <c r="AB172" i="11"/>
  <c r="T172" i="11"/>
  <c r="AC172" i="11"/>
  <c r="AG172" i="11"/>
  <c r="H172" i="11"/>
  <c r="AP172" i="11"/>
  <c r="Y160" i="11"/>
  <c r="G160" i="11"/>
  <c r="AD160" i="11"/>
  <c r="D160" i="11"/>
  <c r="S160" i="11"/>
  <c r="N160" i="11"/>
  <c r="Q160" i="11"/>
  <c r="L160" i="11"/>
  <c r="C95" i="11"/>
  <c r="I118" i="9"/>
  <c r="H105" i="9"/>
  <c r="P105" i="9" s="1"/>
  <c r="H106" i="9"/>
  <c r="Q106" i="9" s="1"/>
  <c r="P104" i="9"/>
  <c r="H119" i="9"/>
  <c r="Q119" i="9" s="1"/>
  <c r="H128" i="9"/>
  <c r="Q104" i="9"/>
  <c r="H118" i="9"/>
  <c r="H127" i="9"/>
  <c r="G118" i="9"/>
  <c r="I113" i="9"/>
  <c r="G106" i="9"/>
  <c r="G105" i="9"/>
  <c r="O104" i="9"/>
  <c r="N104" i="9"/>
  <c r="G127" i="9"/>
  <c r="G119" i="9"/>
  <c r="G128" i="9"/>
  <c r="E29" i="9"/>
  <c r="F30" i="9"/>
  <c r="E31" i="9"/>
  <c r="E30" i="9"/>
  <c r="C167" i="11" l="1"/>
  <c r="H113" i="9"/>
  <c r="P113" i="9" s="1"/>
  <c r="Q118" i="9"/>
  <c r="O118" i="9"/>
  <c r="N118" i="9"/>
  <c r="P119" i="9"/>
  <c r="Q127" i="9"/>
  <c r="P118" i="9"/>
  <c r="P127" i="9"/>
  <c r="Q128" i="9"/>
  <c r="H114" i="9"/>
  <c r="P128" i="9"/>
  <c r="Q105" i="9"/>
  <c r="P106" i="9"/>
  <c r="G113" i="9"/>
  <c r="O127" i="9"/>
  <c r="N127" i="9"/>
  <c r="O105" i="9"/>
  <c r="N105" i="9"/>
  <c r="N106" i="9"/>
  <c r="O106" i="9"/>
  <c r="G114" i="9"/>
  <c r="N128" i="9"/>
  <c r="O128" i="9"/>
  <c r="O119" i="9"/>
  <c r="N119" i="9"/>
  <c r="E32" i="9"/>
  <c r="E33" i="9"/>
  <c r="E28" i="9"/>
  <c r="F14" i="9"/>
  <c r="F11" i="9" s="1"/>
  <c r="F10" i="9" s="1"/>
  <c r="E14" i="9"/>
  <c r="E11" i="9" s="1"/>
  <c r="E10" i="9" s="1"/>
  <c r="E22" i="9"/>
  <c r="Q113" i="9" l="1"/>
  <c r="Q114" i="9"/>
  <c r="P114" i="9"/>
  <c r="N114" i="9"/>
  <c r="O114" i="9"/>
  <c r="O113" i="9"/>
  <c r="N113" i="9"/>
  <c r="E65" i="9"/>
  <c r="E90" i="9"/>
  <c r="E84" i="9" s="1"/>
  <c r="F87" i="9"/>
  <c r="E87" i="9"/>
  <c r="E82" i="9" l="1"/>
  <c r="F85" i="9" l="1"/>
  <c r="F84" i="9"/>
  <c r="F90" i="9" s="1"/>
  <c r="F92" i="9" l="1"/>
  <c r="C34" i="16"/>
  <c r="C34" i="13"/>
  <c r="E62" i="9" l="1"/>
  <c r="C33" i="16" l="1"/>
  <c r="C33" i="13" l="1"/>
  <c r="C12" i="11" l="1"/>
  <c r="D12" i="11"/>
  <c r="E12" i="11"/>
  <c r="G12" i="11"/>
  <c r="D65" i="11" l="1"/>
  <c r="H65" i="11"/>
  <c r="D66" i="11"/>
  <c r="AE66" i="11"/>
  <c r="AQ66" i="11"/>
  <c r="AL66" i="11"/>
  <c r="P66" i="11"/>
  <c r="N66" i="11"/>
  <c r="AJ66" i="11"/>
  <c r="AN66" i="11"/>
  <c r="AF66" i="11"/>
  <c r="AJ65" i="11"/>
  <c r="AN65" i="11"/>
  <c r="AF65" i="11"/>
  <c r="AG66" i="11"/>
  <c r="AK66" i="11"/>
  <c r="AO66" i="11"/>
  <c r="AG65" i="11"/>
  <c r="AK65" i="11"/>
  <c r="AO65" i="11"/>
  <c r="AH66" i="11"/>
  <c r="AP66" i="11"/>
  <c r="AH65" i="11"/>
  <c r="AL65" i="11"/>
  <c r="AP65" i="11"/>
  <c r="AI66" i="11"/>
  <c r="AM66" i="11"/>
  <c r="AI65" i="11"/>
  <c r="AM65" i="11"/>
  <c r="AQ65" i="11"/>
  <c r="U66" i="11"/>
  <c r="Y66" i="11"/>
  <c r="AC66" i="11"/>
  <c r="U65" i="11"/>
  <c r="Y65" i="11"/>
  <c r="AC65" i="11"/>
  <c r="E66" i="11"/>
  <c r="I66" i="11"/>
  <c r="M66" i="11"/>
  <c r="Q66" i="11"/>
  <c r="I65" i="11"/>
  <c r="M65" i="11"/>
  <c r="Q65" i="11"/>
  <c r="E65" i="11"/>
  <c r="AA66" i="11"/>
  <c r="AA65" i="11"/>
  <c r="G66" i="11"/>
  <c r="O66" i="11"/>
  <c r="K65" i="11"/>
  <c r="S65" i="11"/>
  <c r="V66" i="11"/>
  <c r="Z66" i="11"/>
  <c r="AD66" i="11"/>
  <c r="V65" i="11"/>
  <c r="Z65" i="11"/>
  <c r="AD65" i="11"/>
  <c r="F66" i="11"/>
  <c r="J66" i="11"/>
  <c r="R66" i="11"/>
  <c r="J65" i="11"/>
  <c r="N65" i="11"/>
  <c r="R65" i="11"/>
  <c r="F65" i="11"/>
  <c r="W66" i="11"/>
  <c r="W65" i="11"/>
  <c r="AE65" i="11"/>
  <c r="K66" i="11"/>
  <c r="S66" i="11"/>
  <c r="O65" i="11"/>
  <c r="G65" i="11"/>
  <c r="H66" i="11"/>
  <c r="L65" i="11"/>
  <c r="AB66" i="11"/>
  <c r="T66" i="11"/>
  <c r="X65" i="11"/>
  <c r="L66" i="11"/>
  <c r="P65" i="11"/>
  <c r="X66" i="11"/>
  <c r="AB65" i="11"/>
  <c r="T65" i="11"/>
  <c r="G11" i="11"/>
  <c r="F11" i="11"/>
  <c r="E11" i="11"/>
  <c r="D11" i="11"/>
  <c r="C11" i="11"/>
  <c r="AC52" i="11" l="1"/>
  <c r="N49" i="11"/>
  <c r="U49" i="11"/>
  <c r="AG49" i="11" s="1"/>
  <c r="Y49" i="11"/>
  <c r="AK49" i="11" s="1"/>
  <c r="AC49" i="11"/>
  <c r="AO49" i="11" s="1"/>
  <c r="I49" i="11"/>
  <c r="M49" i="11"/>
  <c r="Q49" i="11"/>
  <c r="E49" i="11"/>
  <c r="U48" i="11"/>
  <c r="AG48" i="11" s="1"/>
  <c r="Y48" i="11"/>
  <c r="AK48" i="11" s="1"/>
  <c r="AC48" i="11"/>
  <c r="AO48" i="11" s="1"/>
  <c r="I48" i="11"/>
  <c r="M48" i="11"/>
  <c r="Q48" i="11"/>
  <c r="F48" i="11"/>
  <c r="W49" i="11"/>
  <c r="AI49" i="11" s="1"/>
  <c r="AE49" i="11"/>
  <c r="AQ49" i="11" s="1"/>
  <c r="K49" i="11"/>
  <c r="S49" i="11"/>
  <c r="W48" i="11"/>
  <c r="AI48" i="11" s="1"/>
  <c r="AE48" i="11"/>
  <c r="AQ48" i="11" s="1"/>
  <c r="K48" i="11"/>
  <c r="S48" i="11"/>
  <c r="V49" i="11"/>
  <c r="AH49" i="11" s="1"/>
  <c r="Z49" i="11"/>
  <c r="AL49" i="11" s="1"/>
  <c r="AD49" i="11"/>
  <c r="AP49" i="11" s="1"/>
  <c r="J49" i="11"/>
  <c r="R49" i="11"/>
  <c r="F49" i="11"/>
  <c r="V48" i="11"/>
  <c r="AH48" i="11" s="1"/>
  <c r="Z48" i="11"/>
  <c r="AL48" i="11" s="1"/>
  <c r="AD48" i="11"/>
  <c r="AP48" i="11" s="1"/>
  <c r="J48" i="11"/>
  <c r="N48" i="11"/>
  <c r="R48" i="11"/>
  <c r="G48" i="11"/>
  <c r="AA49" i="11"/>
  <c r="AM49" i="11" s="1"/>
  <c r="O49" i="11"/>
  <c r="G49" i="11"/>
  <c r="AA48" i="11"/>
  <c r="AM48" i="11" s="1"/>
  <c r="O48" i="11"/>
  <c r="E48" i="11"/>
  <c r="L49" i="11"/>
  <c r="X49" i="11"/>
  <c r="AJ49" i="11" s="1"/>
  <c r="H48" i="11"/>
  <c r="AB49" i="11"/>
  <c r="AN49" i="11" s="1"/>
  <c r="H49" i="11"/>
  <c r="T48" i="11"/>
  <c r="AF48" i="11" s="1"/>
  <c r="D48" i="11"/>
  <c r="T49" i="11"/>
  <c r="AF49" i="11" s="1"/>
  <c r="D49" i="11"/>
  <c r="L48" i="11"/>
  <c r="X48" i="11"/>
  <c r="AJ48" i="11" s="1"/>
  <c r="P48" i="11"/>
  <c r="P49" i="11"/>
  <c r="AB48" i="11"/>
  <c r="AN48" i="11" s="1"/>
  <c r="V52" i="11"/>
  <c r="Z52" i="11"/>
  <c r="AD52" i="11"/>
  <c r="J52" i="11"/>
  <c r="N52" i="11"/>
  <c r="R52" i="11"/>
  <c r="F52" i="11"/>
  <c r="V50" i="11"/>
  <c r="AH50" i="11" s="1"/>
  <c r="Z50" i="11"/>
  <c r="AL50" i="11" s="1"/>
  <c r="AD50" i="11"/>
  <c r="AP50" i="11" s="1"/>
  <c r="J50" i="11"/>
  <c r="N50" i="11"/>
  <c r="R50" i="11"/>
  <c r="E50" i="11"/>
  <c r="W52" i="11"/>
  <c r="AA52" i="11"/>
  <c r="AE52" i="11"/>
  <c r="K52" i="11"/>
  <c r="O52" i="11"/>
  <c r="S52" i="11"/>
  <c r="G52" i="11"/>
  <c r="W50" i="11"/>
  <c r="AI50" i="11" s="1"/>
  <c r="AA50" i="11"/>
  <c r="AM50" i="11" s="1"/>
  <c r="AE50" i="11"/>
  <c r="AQ50" i="11" s="1"/>
  <c r="K50" i="11"/>
  <c r="O50" i="11"/>
  <c r="S50" i="11"/>
  <c r="F50" i="11"/>
  <c r="X52" i="11"/>
  <c r="AB52" i="11"/>
  <c r="T52" i="11"/>
  <c r="L52" i="11"/>
  <c r="P52" i="11"/>
  <c r="H52" i="11"/>
  <c r="D52" i="11"/>
  <c r="X50" i="11"/>
  <c r="AJ50" i="11" s="1"/>
  <c r="AB50" i="11"/>
  <c r="AN50" i="11" s="1"/>
  <c r="T50" i="11"/>
  <c r="AF50" i="11" s="1"/>
  <c r="L50" i="11"/>
  <c r="P50" i="11"/>
  <c r="H50" i="11"/>
  <c r="G50" i="11"/>
  <c r="U52" i="11"/>
  <c r="Y52" i="11"/>
  <c r="I52" i="11"/>
  <c r="M52" i="11"/>
  <c r="Q52" i="11"/>
  <c r="E52" i="11"/>
  <c r="U50" i="11"/>
  <c r="AG50" i="11" s="1"/>
  <c r="Y50" i="11"/>
  <c r="AK50" i="11" s="1"/>
  <c r="AC50" i="11"/>
  <c r="AO50" i="11" s="1"/>
  <c r="I50" i="11"/>
  <c r="M50" i="11"/>
  <c r="Q50" i="11"/>
  <c r="D50" i="11"/>
  <c r="M61" i="11" l="1"/>
  <c r="K61" i="11"/>
  <c r="Q61" i="11"/>
  <c r="D61" i="11"/>
  <c r="O61" i="11"/>
  <c r="F61" i="11"/>
  <c r="H61" i="11"/>
  <c r="R61" i="11"/>
  <c r="I61" i="11"/>
  <c r="P61" i="11"/>
  <c r="G61" i="11"/>
  <c r="AQ52" i="11"/>
  <c r="AQ61" i="11" s="1"/>
  <c r="N61" i="11"/>
  <c r="E61" i="11"/>
  <c r="L61" i="11"/>
  <c r="S61" i="11"/>
  <c r="J61" i="11"/>
  <c r="Y61" i="11"/>
  <c r="AK52" i="11"/>
  <c r="AK61" i="11" s="1"/>
  <c r="AA61" i="11"/>
  <c r="AM52" i="11"/>
  <c r="AM61" i="11" s="1"/>
  <c r="U61" i="11"/>
  <c r="AG52" i="11"/>
  <c r="AG61" i="11" s="1"/>
  <c r="T61" i="11"/>
  <c r="AF52" i="11"/>
  <c r="AF61" i="11" s="1"/>
  <c r="W61" i="11"/>
  <c r="AI52" i="11"/>
  <c r="AI61" i="11" s="1"/>
  <c r="AD61" i="11"/>
  <c r="AP52" i="11"/>
  <c r="AP61" i="11" s="1"/>
  <c r="AB61" i="11"/>
  <c r="AN52" i="11"/>
  <c r="AN61" i="11" s="1"/>
  <c r="Z61" i="11"/>
  <c r="AL52" i="11"/>
  <c r="AL61" i="11" s="1"/>
  <c r="AC61" i="11"/>
  <c r="AO52" i="11"/>
  <c r="AO61" i="11" s="1"/>
  <c r="X61" i="11"/>
  <c r="AJ52" i="11"/>
  <c r="AJ61" i="11" s="1"/>
  <c r="AE61" i="11"/>
  <c r="V61" i="11"/>
  <c r="AH52" i="11"/>
  <c r="AH61" i="11" s="1"/>
  <c r="E41" i="9" l="1"/>
  <c r="O9" i="13" l="1"/>
  <c r="E14" i="13" s="1"/>
  <c r="E19" i="13" s="1"/>
  <c r="E24" i="13" s="1"/>
  <c r="O9" i="16"/>
  <c r="K14" i="16" s="1"/>
  <c r="K19" i="16" s="1"/>
  <c r="K24" i="16" s="1"/>
  <c r="L14" i="13" l="1"/>
  <c r="L19" i="13" s="1"/>
  <c r="L24" i="13" s="1"/>
  <c r="L30" i="13" s="1"/>
  <c r="D14" i="13"/>
  <c r="D19" i="13" s="1"/>
  <c r="D24" i="13" s="1"/>
  <c r="D30" i="13" s="1"/>
  <c r="I14" i="13"/>
  <c r="I19" i="13" s="1"/>
  <c r="I24" i="13" s="1"/>
  <c r="I31" i="13" s="1"/>
  <c r="C14" i="13"/>
  <c r="C19" i="13" s="1"/>
  <c r="C24" i="13" s="1"/>
  <c r="J14" i="13"/>
  <c r="J19" i="13" s="1"/>
  <c r="J24" i="13" s="1"/>
  <c r="J30" i="13" s="1"/>
  <c r="F14" i="13"/>
  <c r="F19" i="13" s="1"/>
  <c r="F24" i="13" s="1"/>
  <c r="F30" i="13" s="1"/>
  <c r="G14" i="13"/>
  <c r="G19" i="13" s="1"/>
  <c r="G24" i="13" s="1"/>
  <c r="G31" i="13" s="1"/>
  <c r="F14" i="16"/>
  <c r="F19" i="16" s="1"/>
  <c r="F24" i="16" s="1"/>
  <c r="F30" i="16" s="1"/>
  <c r="E14" i="16"/>
  <c r="E19" i="16" s="1"/>
  <c r="E24" i="16" s="1"/>
  <c r="E31" i="16" s="1"/>
  <c r="H14" i="16"/>
  <c r="H19" i="16" s="1"/>
  <c r="H24" i="16" s="1"/>
  <c r="H30" i="16" s="1"/>
  <c r="L14" i="16"/>
  <c r="L19" i="16" s="1"/>
  <c r="L24" i="16" s="1"/>
  <c r="L31" i="16" s="1"/>
  <c r="N14" i="16"/>
  <c r="N19" i="16" s="1"/>
  <c r="N24" i="16" s="1"/>
  <c r="N30" i="16" s="1"/>
  <c r="D14" i="16"/>
  <c r="D19" i="16" s="1"/>
  <c r="D24" i="16" s="1"/>
  <c r="D31" i="16" s="1"/>
  <c r="M14" i="16"/>
  <c r="M19" i="16" s="1"/>
  <c r="M24" i="16" s="1"/>
  <c r="M31" i="16" s="1"/>
  <c r="G14" i="16"/>
  <c r="G19" i="16" s="1"/>
  <c r="G24" i="16" s="1"/>
  <c r="G31" i="16" s="1"/>
  <c r="J14" i="16"/>
  <c r="J19" i="16" s="1"/>
  <c r="J24" i="16" s="1"/>
  <c r="J31" i="16" s="1"/>
  <c r="I14" i="16"/>
  <c r="I19" i="16" s="1"/>
  <c r="I24" i="16" s="1"/>
  <c r="I31" i="16" s="1"/>
  <c r="C14" i="16"/>
  <c r="C19" i="16" s="1"/>
  <c r="C24" i="16" s="1"/>
  <c r="E30" i="13"/>
  <c r="E31" i="13"/>
  <c r="N14" i="13"/>
  <c r="N19" i="13" s="1"/>
  <c r="N24" i="13" s="1"/>
  <c r="M14" i="13"/>
  <c r="M19" i="13" s="1"/>
  <c r="M24" i="13" s="1"/>
  <c r="H14" i="13"/>
  <c r="H19" i="13" s="1"/>
  <c r="H24" i="13" s="1"/>
  <c r="K31" i="16"/>
  <c r="K30" i="16"/>
  <c r="K14" i="13"/>
  <c r="K19" i="13" s="1"/>
  <c r="K24" i="13" s="1"/>
  <c r="C31" i="13" l="1"/>
  <c r="C30" i="13"/>
  <c r="L31" i="13"/>
  <c r="F82" i="9"/>
  <c r="I30" i="13"/>
  <c r="F31" i="13"/>
  <c r="D31" i="13"/>
  <c r="E30" i="16"/>
  <c r="J31" i="13"/>
  <c r="J30" i="16"/>
  <c r="N31" i="16"/>
  <c r="F31" i="16"/>
  <c r="G30" i="13"/>
  <c r="G30" i="16"/>
  <c r="L30" i="16"/>
  <c r="H31" i="16"/>
  <c r="I30" i="16"/>
  <c r="M30" i="16"/>
  <c r="D30" i="16"/>
  <c r="O14" i="16"/>
  <c r="K31" i="13"/>
  <c r="K30" i="13"/>
  <c r="N30" i="13"/>
  <c r="N31" i="13"/>
  <c r="O14" i="13"/>
  <c r="H31" i="13"/>
  <c r="H30" i="13"/>
  <c r="M31" i="13"/>
  <c r="M30" i="13"/>
  <c r="C31" i="16"/>
  <c r="C30" i="16"/>
  <c r="O31" i="16" l="1"/>
  <c r="C43" i="16" s="1"/>
  <c r="J40" i="16" s="1"/>
  <c r="J54" i="16" s="1"/>
  <c r="AA39" i="11" s="1"/>
  <c r="O30" i="16"/>
  <c r="C42" i="16" s="1"/>
  <c r="C39" i="16" s="1"/>
  <c r="C53" i="16" s="1"/>
  <c r="O30" i="13"/>
  <c r="C42" i="13" s="1"/>
  <c r="N39" i="13" s="1"/>
  <c r="N53" i="13" s="1"/>
  <c r="S31" i="11" s="1"/>
  <c r="O31" i="13"/>
  <c r="C43" i="13" s="1"/>
  <c r="AA42" i="11" l="1"/>
  <c r="AA118" i="11" s="1"/>
  <c r="AA127" i="11" s="1"/>
  <c r="AA40" i="11"/>
  <c r="AA84" i="11" s="1"/>
  <c r="AA93" i="11" s="1"/>
  <c r="AA41" i="11"/>
  <c r="AA101" i="11" s="1"/>
  <c r="AA110" i="11" s="1"/>
  <c r="S34" i="11"/>
  <c r="S120" i="11" s="1"/>
  <c r="S129" i="11" s="1"/>
  <c r="S33" i="11"/>
  <c r="S103" i="11" s="1"/>
  <c r="S112" i="11" s="1"/>
  <c r="S32" i="11"/>
  <c r="S86" i="11" s="1"/>
  <c r="S95" i="11" s="1"/>
  <c r="G40" i="16"/>
  <c r="G54" i="16" s="1"/>
  <c r="X39" i="11" s="1"/>
  <c r="L39" i="13"/>
  <c r="F40" i="16"/>
  <c r="F54" i="16" s="1"/>
  <c r="W39" i="11" s="1"/>
  <c r="I39" i="13"/>
  <c r="I53" i="13" s="1"/>
  <c r="N31" i="11" s="1"/>
  <c r="K40" i="16"/>
  <c r="K54" i="16" s="1"/>
  <c r="AB39" i="11" s="1"/>
  <c r="E40" i="16"/>
  <c r="E54" i="16" s="1"/>
  <c r="V39" i="11" s="1"/>
  <c r="D40" i="16"/>
  <c r="D54" i="16" s="1"/>
  <c r="U39" i="11" s="1"/>
  <c r="L40" i="16"/>
  <c r="L54" i="16" s="1"/>
  <c r="AC39" i="11" s="1"/>
  <c r="C40" i="16"/>
  <c r="C54" i="16" s="1"/>
  <c r="T39" i="11" s="1"/>
  <c r="K39" i="13"/>
  <c r="K53" i="13" s="1"/>
  <c r="P31" i="11" s="1"/>
  <c r="I40" i="16"/>
  <c r="I54" i="16" s="1"/>
  <c r="Z39" i="11" s="1"/>
  <c r="N40" i="16"/>
  <c r="N54" i="16" s="1"/>
  <c r="AE39" i="11" s="1"/>
  <c r="M40" i="16"/>
  <c r="M54" i="16" s="1"/>
  <c r="AD39" i="11" s="1"/>
  <c r="H40" i="16"/>
  <c r="H54" i="16" s="1"/>
  <c r="Y39" i="11" s="1"/>
  <c r="J39" i="16"/>
  <c r="J53" i="16" s="1"/>
  <c r="O39" i="11" s="1"/>
  <c r="E39" i="16"/>
  <c r="E53" i="16" s="1"/>
  <c r="J39" i="11" s="1"/>
  <c r="G39" i="16"/>
  <c r="G53" i="16" s="1"/>
  <c r="L39" i="11" s="1"/>
  <c r="I39" i="16"/>
  <c r="I53" i="16" s="1"/>
  <c r="N39" i="11" s="1"/>
  <c r="N39" i="16"/>
  <c r="N53" i="16" s="1"/>
  <c r="S39" i="11" s="1"/>
  <c r="H39" i="13"/>
  <c r="H53" i="13" s="1"/>
  <c r="M31" i="11" s="1"/>
  <c r="M39" i="13"/>
  <c r="M53" i="13" s="1"/>
  <c r="R31" i="11" s="1"/>
  <c r="D39" i="13"/>
  <c r="D53" i="13" s="1"/>
  <c r="I31" i="11" s="1"/>
  <c r="K39" i="16"/>
  <c r="K53" i="16" s="1"/>
  <c r="P39" i="11" s="1"/>
  <c r="H39" i="16"/>
  <c r="H53" i="16" s="1"/>
  <c r="M39" i="11" s="1"/>
  <c r="G39" i="13"/>
  <c r="G53" i="13" s="1"/>
  <c r="L31" i="11" s="1"/>
  <c r="L39" i="16"/>
  <c r="L53" i="16" s="1"/>
  <c r="Q39" i="11" s="1"/>
  <c r="D39" i="16"/>
  <c r="D53" i="16" s="1"/>
  <c r="I39" i="11" s="1"/>
  <c r="M39" i="16"/>
  <c r="M53" i="16" s="1"/>
  <c r="R39" i="11" s="1"/>
  <c r="F39" i="16"/>
  <c r="F53" i="16" s="1"/>
  <c r="K39" i="11" s="1"/>
  <c r="F39" i="13"/>
  <c r="F53" i="13" s="1"/>
  <c r="K31" i="11" s="1"/>
  <c r="C39" i="13"/>
  <c r="C53" i="13" s="1"/>
  <c r="E39" i="13"/>
  <c r="E53" i="13" s="1"/>
  <c r="J31" i="11" s="1"/>
  <c r="J39" i="13"/>
  <c r="J53" i="13" s="1"/>
  <c r="O31" i="11" s="1"/>
  <c r="S69" i="11"/>
  <c r="AA67" i="11"/>
  <c r="AM67" i="11" s="1"/>
  <c r="H39" i="11"/>
  <c r="E40" i="13"/>
  <c r="E54" i="13" s="1"/>
  <c r="V31" i="11" s="1"/>
  <c r="F40" i="13"/>
  <c r="F54" i="13" s="1"/>
  <c r="W31" i="11" s="1"/>
  <c r="D40" i="13"/>
  <c r="D54" i="13" s="1"/>
  <c r="U31" i="11" s="1"/>
  <c r="I40" i="13"/>
  <c r="I54" i="13" s="1"/>
  <c r="Z31" i="11" s="1"/>
  <c r="J40" i="13"/>
  <c r="J54" i="13" s="1"/>
  <c r="AA31" i="11" s="1"/>
  <c r="G40" i="13"/>
  <c r="G54" i="13" s="1"/>
  <c r="X31" i="11" s="1"/>
  <c r="L40" i="13"/>
  <c r="L54" i="13" s="1"/>
  <c r="AC31" i="11" s="1"/>
  <c r="H40" i="13"/>
  <c r="H54" i="13" s="1"/>
  <c r="Y31" i="11" s="1"/>
  <c r="K40" i="13"/>
  <c r="K54" i="13" s="1"/>
  <c r="AB31" i="11" s="1"/>
  <c r="N40" i="13"/>
  <c r="N54" i="13" s="1"/>
  <c r="AE31" i="11" s="1"/>
  <c r="C40" i="13"/>
  <c r="C54" i="13" s="1"/>
  <c r="M40" i="13"/>
  <c r="M54" i="13" s="1"/>
  <c r="AD31" i="11" s="1"/>
  <c r="AA165" i="11" l="1"/>
  <c r="AA177" i="11"/>
  <c r="S179" i="11"/>
  <c r="S167" i="11"/>
  <c r="I40" i="11"/>
  <c r="I84" i="11" s="1"/>
  <c r="I93" i="11" s="1"/>
  <c r="I41" i="11"/>
  <c r="I101" i="11" s="1"/>
  <c r="I110" i="11" s="1"/>
  <c r="I42" i="11"/>
  <c r="I118" i="11" s="1"/>
  <c r="I127" i="11" s="1"/>
  <c r="P40" i="11"/>
  <c r="P84" i="11" s="1"/>
  <c r="P93" i="11" s="1"/>
  <c r="P41" i="11"/>
  <c r="P101" i="11" s="1"/>
  <c r="P110" i="11" s="1"/>
  <c r="P42" i="11"/>
  <c r="P118" i="11" s="1"/>
  <c r="P127" i="11" s="1"/>
  <c r="S42" i="11"/>
  <c r="S118" i="11" s="1"/>
  <c r="S127" i="11" s="1"/>
  <c r="S40" i="11"/>
  <c r="S84" i="11" s="1"/>
  <c r="S93" i="11" s="1"/>
  <c r="S41" i="11"/>
  <c r="S101" i="11" s="1"/>
  <c r="S110" i="11" s="1"/>
  <c r="O42" i="11"/>
  <c r="O118" i="11" s="1"/>
  <c r="O127" i="11" s="1"/>
  <c r="O40" i="11"/>
  <c r="O84" i="11" s="1"/>
  <c r="O93" i="11" s="1"/>
  <c r="O41" i="11"/>
  <c r="O101" i="11" s="1"/>
  <c r="O110" i="11" s="1"/>
  <c r="Z41" i="11"/>
  <c r="Z101" i="11" s="1"/>
  <c r="Z110" i="11" s="1"/>
  <c r="Z40" i="11"/>
  <c r="Z84" i="11" s="1"/>
  <c r="Z93" i="11" s="1"/>
  <c r="Z42" i="11"/>
  <c r="Z118" i="11" s="1"/>
  <c r="Z127" i="11" s="1"/>
  <c r="U40" i="11"/>
  <c r="U84" i="11" s="1"/>
  <c r="U93" i="11" s="1"/>
  <c r="U41" i="11"/>
  <c r="U101" i="11" s="1"/>
  <c r="U110" i="11" s="1"/>
  <c r="U42" i="11"/>
  <c r="U118" i="11" s="1"/>
  <c r="U127" i="11" s="1"/>
  <c r="W42" i="11"/>
  <c r="W118" i="11" s="1"/>
  <c r="W127" i="11" s="1"/>
  <c r="W41" i="11"/>
  <c r="W101" i="11" s="1"/>
  <c r="W110" i="11" s="1"/>
  <c r="W40" i="11"/>
  <c r="W84" i="11" s="1"/>
  <c r="W93" i="11" s="1"/>
  <c r="Q40" i="11"/>
  <c r="Q84" i="11" s="1"/>
  <c r="Q93" i="11" s="1"/>
  <c r="Q42" i="11"/>
  <c r="Q118" i="11" s="1"/>
  <c r="Q127" i="11" s="1"/>
  <c r="Q41" i="11"/>
  <c r="Q101" i="11" s="1"/>
  <c r="Q110" i="11" s="1"/>
  <c r="N41" i="11"/>
  <c r="N101" i="11" s="1"/>
  <c r="N110" i="11" s="1"/>
  <c r="N40" i="11"/>
  <c r="N84" i="11" s="1"/>
  <c r="N93" i="11" s="1"/>
  <c r="N42" i="11"/>
  <c r="N118" i="11" s="1"/>
  <c r="N127" i="11" s="1"/>
  <c r="Y40" i="11"/>
  <c r="Y84" i="11" s="1"/>
  <c r="Y93" i="11" s="1"/>
  <c r="Y41" i="11"/>
  <c r="Y101" i="11" s="1"/>
  <c r="Y110" i="11" s="1"/>
  <c r="Y42" i="11"/>
  <c r="Y118" i="11" s="1"/>
  <c r="V41" i="11"/>
  <c r="V101" i="11" s="1"/>
  <c r="V110" i="11" s="1"/>
  <c r="V40" i="11"/>
  <c r="V84" i="11" s="1"/>
  <c r="V93" i="11" s="1"/>
  <c r="V42" i="11"/>
  <c r="V118" i="11" s="1"/>
  <c r="V127" i="11" s="1"/>
  <c r="K42" i="11"/>
  <c r="K118" i="11" s="1"/>
  <c r="K127" i="11" s="1"/>
  <c r="K40" i="11"/>
  <c r="K84" i="11" s="1"/>
  <c r="K93" i="11" s="1"/>
  <c r="K41" i="11"/>
  <c r="K101" i="11" s="1"/>
  <c r="K110" i="11" s="1"/>
  <c r="L40" i="11"/>
  <c r="L84" i="11" s="1"/>
  <c r="L93" i="11" s="1"/>
  <c r="L41" i="11"/>
  <c r="L101" i="11" s="1"/>
  <c r="L110" i="11" s="1"/>
  <c r="L42" i="11"/>
  <c r="L118" i="11" s="1"/>
  <c r="L127" i="11" s="1"/>
  <c r="AD41" i="11"/>
  <c r="AD101" i="11" s="1"/>
  <c r="AD110" i="11" s="1"/>
  <c r="AD40" i="11"/>
  <c r="AD84" i="11" s="1"/>
  <c r="AD93" i="11" s="1"/>
  <c r="AD42" i="11"/>
  <c r="AD118" i="11" s="1"/>
  <c r="AD127" i="11" s="1"/>
  <c r="T40" i="11"/>
  <c r="T84" i="11" s="1"/>
  <c r="T93" i="11" s="1"/>
  <c r="T41" i="11"/>
  <c r="T101" i="11" s="1"/>
  <c r="T110" i="11" s="1"/>
  <c r="T42" i="11"/>
  <c r="T118" i="11" s="1"/>
  <c r="T127" i="11" s="1"/>
  <c r="AB40" i="11"/>
  <c r="AB84" i="11" s="1"/>
  <c r="AB93" i="11" s="1"/>
  <c r="AB41" i="11"/>
  <c r="AB101" i="11" s="1"/>
  <c r="AB110" i="11" s="1"/>
  <c r="AB42" i="11"/>
  <c r="AB118" i="11" s="1"/>
  <c r="AB127" i="11" s="1"/>
  <c r="X40" i="11"/>
  <c r="X84" i="11" s="1"/>
  <c r="X93" i="11" s="1"/>
  <c r="X41" i="11"/>
  <c r="X101" i="11" s="1"/>
  <c r="X110" i="11" s="1"/>
  <c r="X42" i="11"/>
  <c r="X118" i="11" s="1"/>
  <c r="X127" i="11" s="1"/>
  <c r="H40" i="11"/>
  <c r="H84" i="11" s="1"/>
  <c r="H93" i="11" s="1"/>
  <c r="H41" i="11"/>
  <c r="H101" i="11" s="1"/>
  <c r="H110" i="11" s="1"/>
  <c r="H42" i="11"/>
  <c r="H118" i="11" s="1"/>
  <c r="H127" i="11" s="1"/>
  <c r="R41" i="11"/>
  <c r="R101" i="11" s="1"/>
  <c r="R110" i="11" s="1"/>
  <c r="R42" i="11"/>
  <c r="R118" i="11" s="1"/>
  <c r="R127" i="11" s="1"/>
  <c r="R40" i="11"/>
  <c r="R84" i="11" s="1"/>
  <c r="R93" i="11" s="1"/>
  <c r="M40" i="11"/>
  <c r="M84" i="11" s="1"/>
  <c r="M93" i="11" s="1"/>
  <c r="M41" i="11"/>
  <c r="M101" i="11" s="1"/>
  <c r="M110" i="11" s="1"/>
  <c r="M42" i="11"/>
  <c r="M118" i="11" s="1"/>
  <c r="M127" i="11" s="1"/>
  <c r="J41" i="11"/>
  <c r="J101" i="11" s="1"/>
  <c r="J110" i="11" s="1"/>
  <c r="J40" i="11"/>
  <c r="J84" i="11" s="1"/>
  <c r="J93" i="11" s="1"/>
  <c r="J42" i="11"/>
  <c r="J118" i="11" s="1"/>
  <c r="J127" i="11" s="1"/>
  <c r="AE42" i="11"/>
  <c r="AE118" i="11" s="1"/>
  <c r="AE127" i="11" s="1"/>
  <c r="AE40" i="11"/>
  <c r="AE84" i="11" s="1"/>
  <c r="AE93" i="11" s="1"/>
  <c r="AE41" i="11"/>
  <c r="AE101" i="11" s="1"/>
  <c r="AE110" i="11" s="1"/>
  <c r="AC40" i="11"/>
  <c r="AC84" i="11" s="1"/>
  <c r="AC93" i="11" s="1"/>
  <c r="AC41" i="11"/>
  <c r="AC101" i="11" s="1"/>
  <c r="AC110" i="11" s="1"/>
  <c r="AC42" i="11"/>
  <c r="AC118" i="11" s="1"/>
  <c r="AC127" i="11" s="1"/>
  <c r="N34" i="11"/>
  <c r="N120" i="11" s="1"/>
  <c r="N129" i="11" s="1"/>
  <c r="N33" i="11"/>
  <c r="N103" i="11" s="1"/>
  <c r="N112" i="11" s="1"/>
  <c r="N32" i="11"/>
  <c r="N86" i="11" s="1"/>
  <c r="N95" i="11" s="1"/>
  <c r="AE34" i="11"/>
  <c r="AE120" i="11" s="1"/>
  <c r="AE33" i="11"/>
  <c r="AE103" i="11" s="1"/>
  <c r="AE32" i="11"/>
  <c r="AE86" i="11" s="1"/>
  <c r="X34" i="11"/>
  <c r="X120" i="11" s="1"/>
  <c r="X33" i="11"/>
  <c r="X103" i="11" s="1"/>
  <c r="X112" i="11" s="1"/>
  <c r="X32" i="11"/>
  <c r="X86" i="11" s="1"/>
  <c r="W34" i="11"/>
  <c r="W120" i="11" s="1"/>
  <c r="W33" i="11"/>
  <c r="W103" i="11" s="1"/>
  <c r="W112" i="11" s="1"/>
  <c r="W32" i="11"/>
  <c r="W86" i="11" s="1"/>
  <c r="K34" i="11"/>
  <c r="K120" i="11" s="1"/>
  <c r="K129" i="11" s="1"/>
  <c r="K33" i="11"/>
  <c r="K103" i="11" s="1"/>
  <c r="K112" i="11" s="1"/>
  <c r="K32" i="11"/>
  <c r="K86" i="11" s="1"/>
  <c r="K95" i="11" s="1"/>
  <c r="I33" i="11"/>
  <c r="I103" i="11" s="1"/>
  <c r="I112" i="11" s="1"/>
  <c r="I32" i="11"/>
  <c r="I86" i="11" s="1"/>
  <c r="I95" i="11" s="1"/>
  <c r="I34" i="11"/>
  <c r="I120" i="11" s="1"/>
  <c r="I129" i="11" s="1"/>
  <c r="P34" i="11"/>
  <c r="P120" i="11" s="1"/>
  <c r="P129" i="11" s="1"/>
  <c r="P33" i="11"/>
  <c r="P103" i="11" s="1"/>
  <c r="P112" i="11" s="1"/>
  <c r="P32" i="11"/>
  <c r="P86" i="11" s="1"/>
  <c r="P95" i="11" s="1"/>
  <c r="AB34" i="11"/>
  <c r="AB120" i="11" s="1"/>
  <c r="AB33" i="11"/>
  <c r="AB103" i="11" s="1"/>
  <c r="AB112" i="11" s="1"/>
  <c r="AB32" i="11"/>
  <c r="AB86" i="11" s="1"/>
  <c r="AA34" i="11"/>
  <c r="AA120" i="11" s="1"/>
  <c r="AA33" i="11"/>
  <c r="AA103" i="11" s="1"/>
  <c r="AA112" i="11" s="1"/>
  <c r="AA32" i="11"/>
  <c r="AA86" i="11" s="1"/>
  <c r="V34" i="11"/>
  <c r="V120" i="11" s="1"/>
  <c r="V33" i="11"/>
  <c r="V103" i="11" s="1"/>
  <c r="V112" i="11" s="1"/>
  <c r="V32" i="11"/>
  <c r="V86" i="11" s="1"/>
  <c r="O34" i="11"/>
  <c r="O120" i="11" s="1"/>
  <c r="O129" i="11" s="1"/>
  <c r="O33" i="11"/>
  <c r="O103" i="11" s="1"/>
  <c r="O112" i="11" s="1"/>
  <c r="O32" i="11"/>
  <c r="O86" i="11" s="1"/>
  <c r="O95" i="11" s="1"/>
  <c r="L34" i="11"/>
  <c r="L120" i="11" s="1"/>
  <c r="L129" i="11" s="1"/>
  <c r="L33" i="11"/>
  <c r="L103" i="11" s="1"/>
  <c r="L112" i="11" s="1"/>
  <c r="L32" i="11"/>
  <c r="L86" i="11" s="1"/>
  <c r="L95" i="11" s="1"/>
  <c r="R34" i="11"/>
  <c r="R120" i="11" s="1"/>
  <c r="R129" i="11" s="1"/>
  <c r="R33" i="11"/>
  <c r="R103" i="11" s="1"/>
  <c r="R112" i="11" s="1"/>
  <c r="R32" i="11"/>
  <c r="R86" i="11" s="1"/>
  <c r="R95" i="11" s="1"/>
  <c r="AD34" i="11"/>
  <c r="AD120" i="11" s="1"/>
  <c r="AD33" i="11"/>
  <c r="AD103" i="11" s="1"/>
  <c r="AD112" i="11" s="1"/>
  <c r="AD32" i="11"/>
  <c r="AD86" i="11" s="1"/>
  <c r="Y33" i="11"/>
  <c r="Y103" i="11" s="1"/>
  <c r="Y112" i="11" s="1"/>
  <c r="Y32" i="11"/>
  <c r="Y86" i="11" s="1"/>
  <c r="Y34" i="11"/>
  <c r="Y120" i="11" s="1"/>
  <c r="Z34" i="11"/>
  <c r="Z120" i="11" s="1"/>
  <c r="Z33" i="11"/>
  <c r="Z103" i="11" s="1"/>
  <c r="Z112" i="11" s="1"/>
  <c r="Z32" i="11"/>
  <c r="Z86" i="11" s="1"/>
  <c r="J34" i="11"/>
  <c r="J120" i="11" s="1"/>
  <c r="J129" i="11" s="1"/>
  <c r="J33" i="11"/>
  <c r="J103" i="11" s="1"/>
  <c r="J112" i="11" s="1"/>
  <c r="J32" i="11"/>
  <c r="J86" i="11" s="1"/>
  <c r="J95" i="11" s="1"/>
  <c r="M33" i="11"/>
  <c r="M103" i="11" s="1"/>
  <c r="M112" i="11" s="1"/>
  <c r="M32" i="11"/>
  <c r="M86" i="11" s="1"/>
  <c r="M95" i="11" s="1"/>
  <c r="M34" i="11"/>
  <c r="M120" i="11" s="1"/>
  <c r="M129" i="11" s="1"/>
  <c r="AC33" i="11"/>
  <c r="AC103" i="11" s="1"/>
  <c r="AC112" i="11" s="1"/>
  <c r="AC32" i="11"/>
  <c r="AC86" i="11" s="1"/>
  <c r="AC34" i="11"/>
  <c r="AC120" i="11" s="1"/>
  <c r="U33" i="11"/>
  <c r="U103" i="11" s="1"/>
  <c r="U112" i="11" s="1"/>
  <c r="U32" i="11"/>
  <c r="U86" i="11" s="1"/>
  <c r="U34" i="11"/>
  <c r="U120" i="11" s="1"/>
  <c r="I67" i="11"/>
  <c r="F48" i="13"/>
  <c r="F56" i="13" s="1"/>
  <c r="G31" i="11" s="1"/>
  <c r="L53" i="13"/>
  <c r="Q31" i="11" s="1"/>
  <c r="AB67" i="11"/>
  <c r="AN67" i="11" s="1"/>
  <c r="AD67" i="11"/>
  <c r="AP67" i="11" s="1"/>
  <c r="X67" i="11"/>
  <c r="AJ67" i="11" s="1"/>
  <c r="Z67" i="11"/>
  <c r="AL67" i="11" s="1"/>
  <c r="Y67" i="11"/>
  <c r="AK67" i="11" s="1"/>
  <c r="U67" i="11"/>
  <c r="AG67" i="11" s="1"/>
  <c r="AC67" i="11"/>
  <c r="AO67" i="11" s="1"/>
  <c r="AE67" i="11"/>
  <c r="AQ67" i="11" s="1"/>
  <c r="O67" i="11"/>
  <c r="W67" i="11"/>
  <c r="AI67" i="11" s="1"/>
  <c r="E48" i="16"/>
  <c r="E56" i="16" s="1"/>
  <c r="F39" i="11" s="1"/>
  <c r="I69" i="11"/>
  <c r="O54" i="16"/>
  <c r="C48" i="16"/>
  <c r="C56" i="16" s="1"/>
  <c r="D39" i="11" s="1"/>
  <c r="V67" i="11"/>
  <c r="AH67" i="11" s="1"/>
  <c r="P69" i="11"/>
  <c r="R67" i="11"/>
  <c r="M67" i="11"/>
  <c r="J67" i="11"/>
  <c r="L67" i="11"/>
  <c r="S67" i="11"/>
  <c r="P67" i="11"/>
  <c r="D48" i="13"/>
  <c r="D56" i="13" s="1"/>
  <c r="E31" i="11" s="1"/>
  <c r="R69" i="11"/>
  <c r="M69" i="11"/>
  <c r="F48" i="16"/>
  <c r="F56" i="16" s="1"/>
  <c r="G39" i="11" s="1"/>
  <c r="L69" i="11"/>
  <c r="D48" i="16"/>
  <c r="D56" i="16" s="1"/>
  <c r="E39" i="11" s="1"/>
  <c r="E48" i="13"/>
  <c r="E56" i="13" s="1"/>
  <c r="F31" i="11" s="1"/>
  <c r="C48" i="13"/>
  <c r="C56" i="13" s="1"/>
  <c r="D31" i="11" s="1"/>
  <c r="O69" i="11"/>
  <c r="J69" i="11"/>
  <c r="T67" i="11"/>
  <c r="AF67" i="11" s="1"/>
  <c r="K69" i="11"/>
  <c r="V69" i="11"/>
  <c r="AE69" i="11"/>
  <c r="X69" i="11"/>
  <c r="W69" i="11"/>
  <c r="AB69" i="11"/>
  <c r="AD69" i="11"/>
  <c r="Y69" i="11"/>
  <c r="Z69" i="11"/>
  <c r="N67" i="11"/>
  <c r="O53" i="16"/>
  <c r="Q67" i="11"/>
  <c r="N69" i="11"/>
  <c r="AA69" i="11"/>
  <c r="K67" i="11"/>
  <c r="H31" i="11"/>
  <c r="T31" i="11"/>
  <c r="O54" i="13"/>
  <c r="AC69" i="11"/>
  <c r="U69" i="11"/>
  <c r="H67" i="11"/>
  <c r="E56" i="9"/>
  <c r="E52" i="9"/>
  <c r="M177" i="11" l="1"/>
  <c r="R177" i="11"/>
  <c r="AB177" i="11"/>
  <c r="AC165" i="11"/>
  <c r="T165" i="11"/>
  <c r="K165" i="11"/>
  <c r="O165" i="11"/>
  <c r="AE165" i="11"/>
  <c r="H177" i="11"/>
  <c r="X165" i="11"/>
  <c r="L165" i="11"/>
  <c r="U177" i="11"/>
  <c r="P177" i="11"/>
  <c r="I165" i="11"/>
  <c r="J179" i="11"/>
  <c r="AC177" i="11"/>
  <c r="H165" i="11"/>
  <c r="T177" i="11"/>
  <c r="V177" i="11"/>
  <c r="Y165" i="11"/>
  <c r="U165" i="11"/>
  <c r="S165" i="11"/>
  <c r="P165" i="11"/>
  <c r="R179" i="11"/>
  <c r="K179" i="11"/>
  <c r="N179" i="11"/>
  <c r="AD177" i="11"/>
  <c r="K177" i="11"/>
  <c r="O177" i="11"/>
  <c r="J165" i="11"/>
  <c r="O179" i="11"/>
  <c r="N165" i="11"/>
  <c r="Z165" i="11"/>
  <c r="P179" i="11"/>
  <c r="AE177" i="11"/>
  <c r="AD165" i="11"/>
  <c r="Q165" i="11"/>
  <c r="W165" i="11"/>
  <c r="M179" i="11"/>
  <c r="L179" i="11"/>
  <c r="I179" i="11"/>
  <c r="J177" i="11"/>
  <c r="M165" i="11"/>
  <c r="R165" i="11"/>
  <c r="X177" i="11"/>
  <c r="AB165" i="11"/>
  <c r="L177" i="11"/>
  <c r="V165" i="11"/>
  <c r="N177" i="11"/>
  <c r="Q177" i="11"/>
  <c r="W177" i="11"/>
  <c r="Z177" i="11"/>
  <c r="S177" i="11"/>
  <c r="I177" i="11"/>
  <c r="M167" i="11"/>
  <c r="O167" i="11"/>
  <c r="P167" i="11"/>
  <c r="I167" i="11"/>
  <c r="L167" i="11"/>
  <c r="J167" i="11"/>
  <c r="R167" i="11"/>
  <c r="K167" i="11"/>
  <c r="N167" i="11"/>
  <c r="U129" i="11"/>
  <c r="U179" i="11" s="1"/>
  <c r="AG120" i="11"/>
  <c r="AG129" i="11" s="1"/>
  <c r="AC95" i="11"/>
  <c r="AO86" i="11"/>
  <c r="AO95" i="11" s="1"/>
  <c r="Z95" i="11"/>
  <c r="AL86" i="11"/>
  <c r="AL95" i="11" s="1"/>
  <c r="Y95" i="11"/>
  <c r="AK86" i="11"/>
  <c r="AK95" i="11" s="1"/>
  <c r="AD129" i="11"/>
  <c r="AD179" i="11" s="1"/>
  <c r="AP120" i="11"/>
  <c r="AP129" i="11" s="1"/>
  <c r="V129" i="11"/>
  <c r="V179" i="11" s="1"/>
  <c r="AH120" i="11"/>
  <c r="AH129" i="11" s="1"/>
  <c r="AB95" i="11"/>
  <c r="AN86" i="11"/>
  <c r="AN95" i="11" s="1"/>
  <c r="W95" i="11"/>
  <c r="AI86" i="11"/>
  <c r="AI95" i="11" s="1"/>
  <c r="AE129" i="11"/>
  <c r="AQ120" i="11"/>
  <c r="AQ129" i="11" s="1"/>
  <c r="E40" i="11"/>
  <c r="E84" i="11" s="1"/>
  <c r="E93" i="11" s="1"/>
  <c r="E41" i="11"/>
  <c r="E101" i="11" s="1"/>
  <c r="E110" i="11" s="1"/>
  <c r="E42" i="11"/>
  <c r="E118" i="11" s="1"/>
  <c r="E127" i="11" s="1"/>
  <c r="U95" i="11"/>
  <c r="AG86" i="11"/>
  <c r="AG95" i="11" s="1"/>
  <c r="AA95" i="11"/>
  <c r="AM86" i="11"/>
  <c r="AM95" i="11" s="1"/>
  <c r="X129" i="11"/>
  <c r="X179" i="11" s="1"/>
  <c r="AJ120" i="11"/>
  <c r="AJ129" i="11" s="1"/>
  <c r="F41" i="11"/>
  <c r="F101" i="11" s="1"/>
  <c r="F110" i="11" s="1"/>
  <c r="F40" i="11"/>
  <c r="F84" i="11" s="1"/>
  <c r="F93" i="11" s="1"/>
  <c r="F42" i="11"/>
  <c r="F118" i="11" s="1"/>
  <c r="F127" i="11" s="1"/>
  <c r="Z129" i="11"/>
  <c r="Z179" i="11" s="1"/>
  <c r="AL120" i="11"/>
  <c r="AL129" i="11" s="1"/>
  <c r="AD95" i="11"/>
  <c r="AP86" i="11"/>
  <c r="AP95" i="11" s="1"/>
  <c r="V95" i="11"/>
  <c r="AH86" i="11"/>
  <c r="AH95" i="11" s="1"/>
  <c r="AB129" i="11"/>
  <c r="AB179" i="11" s="1"/>
  <c r="AN120" i="11"/>
  <c r="AN129" i="11" s="1"/>
  <c r="W129" i="11"/>
  <c r="W179" i="11" s="1"/>
  <c r="AI120" i="11"/>
  <c r="AI129" i="11" s="1"/>
  <c r="AE95" i="11"/>
  <c r="AQ86" i="11"/>
  <c r="AQ95" i="11" s="1"/>
  <c r="G42" i="11"/>
  <c r="G118" i="11" s="1"/>
  <c r="G127" i="11" s="1"/>
  <c r="G40" i="11"/>
  <c r="G84" i="11" s="1"/>
  <c r="G93" i="11" s="1"/>
  <c r="G41" i="11"/>
  <c r="G101" i="11" s="1"/>
  <c r="G110" i="11" s="1"/>
  <c r="D40" i="11"/>
  <c r="D84" i="11" s="1"/>
  <c r="D93" i="11" s="1"/>
  <c r="D42" i="11"/>
  <c r="D118" i="11" s="1"/>
  <c r="D127" i="11" s="1"/>
  <c r="D41" i="11"/>
  <c r="D101" i="11" s="1"/>
  <c r="D110" i="11" s="1"/>
  <c r="D67" i="11"/>
  <c r="AC129" i="11"/>
  <c r="AC179" i="11" s="1"/>
  <c r="AO120" i="11"/>
  <c r="AO129" i="11" s="1"/>
  <c r="AK120" i="11"/>
  <c r="AK129" i="11" s="1"/>
  <c r="Y129" i="11"/>
  <c r="Y179" i="11" s="1"/>
  <c r="AA129" i="11"/>
  <c r="AA179" i="11" s="1"/>
  <c r="AM120" i="11"/>
  <c r="AM129" i="11" s="1"/>
  <c r="X95" i="11"/>
  <c r="AJ86" i="11"/>
  <c r="AJ95" i="11" s="1"/>
  <c r="AQ103" i="11"/>
  <c r="AQ112" i="11" s="1"/>
  <c r="AE112" i="11"/>
  <c r="AK118" i="11"/>
  <c r="AK127" i="11" s="1"/>
  <c r="Y127" i="11"/>
  <c r="Y177" i="11" s="1"/>
  <c r="T34" i="11"/>
  <c r="T120" i="11" s="1"/>
  <c r="T33" i="11"/>
  <c r="T103" i="11" s="1"/>
  <c r="T32" i="11"/>
  <c r="T86" i="11" s="1"/>
  <c r="D34" i="11"/>
  <c r="D120" i="11" s="1"/>
  <c r="D129" i="11" s="1"/>
  <c r="D33" i="11"/>
  <c r="D103" i="11" s="1"/>
  <c r="D112" i="11" s="1"/>
  <c r="D32" i="11"/>
  <c r="D86" i="11" s="1"/>
  <c r="D95" i="11" s="1"/>
  <c r="H34" i="11"/>
  <c r="H120" i="11" s="1"/>
  <c r="H129" i="11" s="1"/>
  <c r="H33" i="11"/>
  <c r="H103" i="11" s="1"/>
  <c r="H112" i="11" s="1"/>
  <c r="H32" i="11"/>
  <c r="H86" i="11" s="1"/>
  <c r="H95" i="11" s="1"/>
  <c r="F34" i="11"/>
  <c r="F120" i="11" s="1"/>
  <c r="F129" i="11" s="1"/>
  <c r="F33" i="11"/>
  <c r="F103" i="11" s="1"/>
  <c r="F112" i="11" s="1"/>
  <c r="F32" i="11"/>
  <c r="F86" i="11" s="1"/>
  <c r="F95" i="11" s="1"/>
  <c r="Q33" i="11"/>
  <c r="Q103" i="11" s="1"/>
  <c r="Q112" i="11" s="1"/>
  <c r="Q32" i="11"/>
  <c r="Q86" i="11" s="1"/>
  <c r="Q95" i="11" s="1"/>
  <c r="Q34" i="11"/>
  <c r="Q120" i="11" s="1"/>
  <c r="Q129" i="11" s="1"/>
  <c r="E33" i="11"/>
  <c r="E103" i="11" s="1"/>
  <c r="E112" i="11" s="1"/>
  <c r="E32" i="11"/>
  <c r="E86" i="11" s="1"/>
  <c r="E95" i="11" s="1"/>
  <c r="E34" i="11"/>
  <c r="E120" i="11" s="1"/>
  <c r="E129" i="11" s="1"/>
  <c r="G34" i="11"/>
  <c r="G120" i="11" s="1"/>
  <c r="G129" i="11" s="1"/>
  <c r="G33" i="11"/>
  <c r="G103" i="11" s="1"/>
  <c r="G112" i="11" s="1"/>
  <c r="G32" i="11"/>
  <c r="G86" i="11" s="1"/>
  <c r="G95" i="11" s="1"/>
  <c r="AM69" i="11"/>
  <c r="AN69" i="11"/>
  <c r="AG69" i="11"/>
  <c r="AG103" i="11"/>
  <c r="AG112" i="11" s="1"/>
  <c r="AO69" i="11"/>
  <c r="AP69" i="11"/>
  <c r="AP103" i="11"/>
  <c r="AP112" i="11" s="1"/>
  <c r="AQ69" i="11"/>
  <c r="AH69" i="11"/>
  <c r="AH103" i="11"/>
  <c r="AH112" i="11" s="1"/>
  <c r="AL69" i="11"/>
  <c r="AL103" i="11"/>
  <c r="AL112" i="11" s="1"/>
  <c r="AI69" i="11"/>
  <c r="AK69" i="11"/>
  <c r="AK103" i="11"/>
  <c r="AK112" i="11" s="1"/>
  <c r="AJ69" i="11"/>
  <c r="AJ103" i="11"/>
  <c r="AJ112" i="11" s="1"/>
  <c r="O53" i="13"/>
  <c r="G69" i="11"/>
  <c r="Q69" i="11"/>
  <c r="F67" i="11"/>
  <c r="G67" i="11"/>
  <c r="E69" i="11"/>
  <c r="G56" i="13"/>
  <c r="E67" i="11"/>
  <c r="G56" i="16"/>
  <c r="F69" i="11"/>
  <c r="H69" i="11"/>
  <c r="T69" i="11"/>
  <c r="D69" i="11"/>
  <c r="E99" i="9"/>
  <c r="D179" i="11" l="1"/>
  <c r="G165" i="11"/>
  <c r="E177" i="11"/>
  <c r="Q179" i="11"/>
  <c r="D165" i="11"/>
  <c r="AL179" i="11"/>
  <c r="AE179" i="11"/>
  <c r="E165" i="11"/>
  <c r="G179" i="11"/>
  <c r="F165" i="11"/>
  <c r="AH179" i="11"/>
  <c r="E179" i="11"/>
  <c r="F177" i="11"/>
  <c r="AQ179" i="11"/>
  <c r="AP179" i="11"/>
  <c r="AG179" i="11"/>
  <c r="H179" i="11"/>
  <c r="AK179" i="11"/>
  <c r="F179" i="11"/>
  <c r="D177" i="11"/>
  <c r="G177" i="11"/>
  <c r="AJ179" i="11"/>
  <c r="F167" i="11"/>
  <c r="AJ167" i="11"/>
  <c r="AE167" i="11"/>
  <c r="AD167" i="11"/>
  <c r="AB167" i="11"/>
  <c r="Z167" i="11"/>
  <c r="G167" i="11"/>
  <c r="E167" i="11"/>
  <c r="H167" i="11"/>
  <c r="AQ167" i="11"/>
  <c r="AP167" i="11"/>
  <c r="X167" i="11"/>
  <c r="AH167" i="11"/>
  <c r="AA167" i="11"/>
  <c r="AK167" i="11"/>
  <c r="U167" i="11"/>
  <c r="AL167" i="11"/>
  <c r="Q167" i="11"/>
  <c r="D167" i="11"/>
  <c r="V167" i="11"/>
  <c r="AG167" i="11"/>
  <c r="W167" i="11"/>
  <c r="Y167" i="11"/>
  <c r="AC167" i="11"/>
  <c r="T95" i="11"/>
  <c r="AF86" i="11"/>
  <c r="AF95" i="11" s="1"/>
  <c r="AF103" i="11"/>
  <c r="AF112" i="11" s="1"/>
  <c r="T112" i="11"/>
  <c r="AF120" i="11"/>
  <c r="AF129" i="11" s="1"/>
  <c r="T129" i="11"/>
  <c r="AI103" i="11"/>
  <c r="AI112" i="11" s="1"/>
  <c r="AI179" i="11" s="1"/>
  <c r="AN103" i="11"/>
  <c r="AN112" i="11" s="1"/>
  <c r="AN179" i="11" s="1"/>
  <c r="AF69" i="11"/>
  <c r="AM103" i="11"/>
  <c r="AM112" i="11" s="1"/>
  <c r="AM167" i="11" s="1"/>
  <c r="AO103" i="11"/>
  <c r="AO112" i="11" s="1"/>
  <c r="AO167" i="11" s="1"/>
  <c r="E98" i="9"/>
  <c r="C56" i="11"/>
  <c r="E96" i="9"/>
  <c r="AI167" i="11" l="1"/>
  <c r="AM179" i="11"/>
  <c r="AN167" i="11"/>
  <c r="AF179" i="11"/>
  <c r="AO179" i="11"/>
  <c r="T179" i="11"/>
  <c r="AF167" i="11"/>
  <c r="T167" i="11"/>
  <c r="C53" i="11"/>
  <c r="AG53" i="11" s="1"/>
  <c r="C55" i="11"/>
  <c r="AN55" i="11" s="1"/>
  <c r="AP56" i="11"/>
  <c r="AL56" i="11"/>
  <c r="AH56" i="11"/>
  <c r="AO56" i="11"/>
  <c r="AK56" i="11"/>
  <c r="AG56" i="11"/>
  <c r="AJ56" i="11"/>
  <c r="AQ56" i="11"/>
  <c r="AI56" i="11"/>
  <c r="AM56" i="11"/>
  <c r="AF56" i="11"/>
  <c r="AN56" i="11"/>
  <c r="F56" i="11"/>
  <c r="F56" i="9"/>
  <c r="P56" i="11"/>
  <c r="M56" i="11"/>
  <c r="N56" i="11"/>
  <c r="O56" i="11"/>
  <c r="X56" i="11"/>
  <c r="AE56" i="11"/>
  <c r="AD56" i="11"/>
  <c r="Y56" i="11"/>
  <c r="D56" i="11"/>
  <c r="Q56" i="11"/>
  <c r="R56" i="11"/>
  <c r="S56" i="11"/>
  <c r="AB56" i="11"/>
  <c r="AC56" i="11"/>
  <c r="H56" i="11"/>
  <c r="E56" i="11"/>
  <c r="G56" i="11"/>
  <c r="T56" i="11"/>
  <c r="W56" i="11"/>
  <c r="V56" i="11"/>
  <c r="L56" i="11"/>
  <c r="K56" i="11"/>
  <c r="U56" i="11"/>
  <c r="Z56" i="11"/>
  <c r="I56" i="11"/>
  <c r="J56" i="11"/>
  <c r="AA56" i="11"/>
  <c r="E102" i="9"/>
  <c r="F124" i="9" l="1"/>
  <c r="F48" i="9" s="1"/>
  <c r="E53" i="11"/>
  <c r="O53" i="11"/>
  <c r="E111" i="9"/>
  <c r="E37" i="9"/>
  <c r="U53" i="11"/>
  <c r="N53" i="11"/>
  <c r="AL53" i="11"/>
  <c r="AC53" i="11"/>
  <c r="AA53" i="11"/>
  <c r="R53" i="11"/>
  <c r="AH53" i="11"/>
  <c r="AE53" i="11"/>
  <c r="X53" i="11"/>
  <c r="M53" i="11"/>
  <c r="AP53" i="11"/>
  <c r="AK53" i="11"/>
  <c r="G53" i="11"/>
  <c r="P53" i="11"/>
  <c r="K53" i="11"/>
  <c r="T53" i="11"/>
  <c r="AM53" i="11"/>
  <c r="AN53" i="11"/>
  <c r="F53" i="11"/>
  <c r="AB53" i="11"/>
  <c r="Y53" i="11"/>
  <c r="Q53" i="11"/>
  <c r="Z53" i="11"/>
  <c r="H53" i="11"/>
  <c r="I53" i="11"/>
  <c r="AQ53" i="11"/>
  <c r="AI53" i="11"/>
  <c r="AJ53" i="11"/>
  <c r="D53" i="11"/>
  <c r="J53" i="11"/>
  <c r="AD53" i="11"/>
  <c r="L53" i="11"/>
  <c r="W53" i="11"/>
  <c r="V53" i="11"/>
  <c r="S53" i="11"/>
  <c r="AF53" i="11"/>
  <c r="AO53" i="11"/>
  <c r="AB55" i="11"/>
  <c r="X55" i="11"/>
  <c r="V55" i="11"/>
  <c r="S55" i="11"/>
  <c r="W55" i="11"/>
  <c r="O55" i="11"/>
  <c r="H55" i="11"/>
  <c r="N55" i="11"/>
  <c r="AJ55" i="11"/>
  <c r="J55" i="11"/>
  <c r="G55" i="11"/>
  <c r="D55" i="11"/>
  <c r="AQ55" i="11"/>
  <c r="AG55" i="11"/>
  <c r="AI55" i="11"/>
  <c r="T55" i="11"/>
  <c r="Y55" i="11"/>
  <c r="U55" i="11"/>
  <c r="AP55" i="11"/>
  <c r="AM55" i="11"/>
  <c r="I55" i="11"/>
  <c r="K55" i="11"/>
  <c r="F55" i="11"/>
  <c r="AD55" i="11"/>
  <c r="R55" i="11"/>
  <c r="Z55" i="11"/>
  <c r="M55" i="11"/>
  <c r="AL55" i="11"/>
  <c r="AH55" i="11"/>
  <c r="AF55" i="11"/>
  <c r="L55" i="11"/>
  <c r="AC55" i="11"/>
  <c r="E55" i="11"/>
  <c r="AE55" i="11"/>
  <c r="Q55" i="11"/>
  <c r="AA55" i="11"/>
  <c r="P55" i="11"/>
  <c r="AO55" i="11"/>
  <c r="AK55" i="11"/>
  <c r="C59" i="11"/>
  <c r="L124" i="9" l="1"/>
  <c r="M124" i="9"/>
  <c r="F111" i="9"/>
  <c r="F47" i="9" s="1"/>
  <c r="F110" i="9"/>
  <c r="AP59" i="11"/>
  <c r="AL59" i="11"/>
  <c r="AH59" i="11"/>
  <c r="AO59" i="11"/>
  <c r="AK59" i="11"/>
  <c r="AG59" i="11"/>
  <c r="AN59" i="11"/>
  <c r="AJ59" i="11"/>
  <c r="AF59" i="11"/>
  <c r="AQ59" i="11"/>
  <c r="AM59" i="11"/>
  <c r="AI59" i="11"/>
  <c r="M59" i="11"/>
  <c r="AC59" i="11"/>
  <c r="R59" i="11"/>
  <c r="G59" i="11"/>
  <c r="W59" i="11"/>
  <c r="L59" i="11"/>
  <c r="AB59" i="11"/>
  <c r="Q59" i="11"/>
  <c r="F59" i="11"/>
  <c r="V59" i="11"/>
  <c r="K59" i="11"/>
  <c r="AA59" i="11"/>
  <c r="P59" i="11"/>
  <c r="D59" i="11"/>
  <c r="E59" i="11"/>
  <c r="U59" i="11"/>
  <c r="J59" i="11"/>
  <c r="Z59" i="11"/>
  <c r="O59" i="11"/>
  <c r="AE59" i="11"/>
  <c r="T59" i="11"/>
  <c r="AD59" i="11"/>
  <c r="I59" i="11"/>
  <c r="S59" i="11"/>
  <c r="Y59" i="11"/>
  <c r="H59" i="11"/>
  <c r="N59" i="11"/>
  <c r="X59" i="11"/>
  <c r="J111" i="9" l="1"/>
  <c r="M111" i="9"/>
  <c r="L111" i="9"/>
  <c r="M110" i="9"/>
  <c r="L110" i="9"/>
  <c r="F44" i="9"/>
  <c r="J110" i="9"/>
  <c r="K111" i="9"/>
  <c r="F45" i="9" l="1"/>
  <c r="F96" i="9" s="1"/>
  <c r="F98" i="9" s="1"/>
  <c r="F99" i="9" l="1"/>
  <c r="F61" i="9" s="1"/>
  <c r="E39" i="9"/>
  <c r="E118" i="9"/>
  <c r="L96" i="9" l="1"/>
  <c r="J96" i="9"/>
  <c r="M96" i="9"/>
  <c r="K96" i="9"/>
  <c r="L99" i="9"/>
  <c r="K99" i="9"/>
  <c r="M99" i="9"/>
  <c r="F101" i="9"/>
  <c r="E119" i="9"/>
  <c r="E36" i="9"/>
  <c r="K98" i="9" l="1"/>
  <c r="M98" i="9"/>
  <c r="L98" i="9"/>
  <c r="M101" i="9"/>
  <c r="L101" i="9"/>
  <c r="E101" i="9"/>
  <c r="K101" i="9" s="1"/>
  <c r="E40" i="9"/>
  <c r="E42" i="9" s="1"/>
  <c r="J101" i="9" l="1"/>
  <c r="C58" i="11"/>
  <c r="I58" i="11" l="1"/>
  <c r="F58" i="11"/>
  <c r="AC58" i="11"/>
  <c r="AO84" i="11" s="1"/>
  <c r="AO93" i="11" s="1"/>
  <c r="Y58" i="11"/>
  <c r="P58" i="11"/>
  <c r="O58" i="11"/>
  <c r="AB58" i="11"/>
  <c r="E58" i="11"/>
  <c r="AD58" i="11"/>
  <c r="AP84" i="11" s="1"/>
  <c r="AP93" i="11" s="1"/>
  <c r="X58" i="11"/>
  <c r="AG58" i="11"/>
  <c r="AE58" i="11"/>
  <c r="AA58" i="11"/>
  <c r="AQ58" i="11"/>
  <c r="AJ58" i="11"/>
  <c r="AO58" i="11"/>
  <c r="S58" i="11"/>
  <c r="AP58" i="11"/>
  <c r="AM58" i="11"/>
  <c r="AI58" i="11"/>
  <c r="L58" i="11"/>
  <c r="W58" i="11"/>
  <c r="AK58" i="11"/>
  <c r="AF58" i="11"/>
  <c r="M58" i="11"/>
  <c r="N58" i="11"/>
  <c r="U58" i="11"/>
  <c r="AG84" i="11" s="1"/>
  <c r="AG93" i="11" s="1"/>
  <c r="D58" i="11"/>
  <c r="AH58" i="11"/>
  <c r="T58" i="11"/>
  <c r="V58" i="11"/>
  <c r="AH84" i="11" s="1"/>
  <c r="AH93" i="11" s="1"/>
  <c r="K58" i="11"/>
  <c r="AN58" i="11"/>
  <c r="J58" i="11"/>
  <c r="H58" i="11"/>
  <c r="AL58" i="11"/>
  <c r="G58" i="11"/>
  <c r="Q58" i="11"/>
  <c r="Z58" i="11"/>
  <c r="AL84" i="11" s="1"/>
  <c r="AL93" i="11" s="1"/>
  <c r="R58" i="11"/>
  <c r="AM84" i="11" l="1"/>
  <c r="AM93" i="11" s="1"/>
  <c r="AQ84" i="11"/>
  <c r="AQ93" i="11" s="1"/>
  <c r="AK84" i="11"/>
  <c r="AK93" i="11" s="1"/>
  <c r="AN84" i="11"/>
  <c r="AN93" i="11" s="1"/>
  <c r="AF84" i="11"/>
  <c r="AF93" i="11" s="1"/>
  <c r="AI84" i="11"/>
  <c r="AI93" i="11" s="1"/>
  <c r="AJ84" i="11"/>
  <c r="AJ93" i="11" s="1"/>
  <c r="C70" i="11" l="1"/>
  <c r="C73" i="11"/>
  <c r="C150" i="11" s="1"/>
  <c r="J99" i="9"/>
  <c r="F26" i="9"/>
  <c r="I70" i="11" l="1"/>
  <c r="I147" i="11" s="1"/>
  <c r="C147" i="11"/>
  <c r="V73" i="11"/>
  <c r="V150" i="11" s="1"/>
  <c r="L73" i="11"/>
  <c r="L150" i="11" s="1"/>
  <c r="C138" i="11"/>
  <c r="D70" i="11"/>
  <c r="D147" i="11" s="1"/>
  <c r="F62" i="9"/>
  <c r="F102" i="9" s="1"/>
  <c r="F97" i="9"/>
  <c r="J97" i="9" s="1"/>
  <c r="C72" i="11"/>
  <c r="C149" i="11" s="1"/>
  <c r="C75" i="11"/>
  <c r="C152" i="11" s="1"/>
  <c r="AE73" i="11"/>
  <c r="L138" i="11"/>
  <c r="AB73" i="11"/>
  <c r="AN73" i="11"/>
  <c r="Q73" i="11"/>
  <c r="P73" i="11"/>
  <c r="AI73" i="11"/>
  <c r="M73" i="11"/>
  <c r="AF73" i="11"/>
  <c r="E73" i="11"/>
  <c r="E150" i="11" s="1"/>
  <c r="AG73" i="11"/>
  <c r="J73" i="11"/>
  <c r="U73" i="11"/>
  <c r="Z73" i="11"/>
  <c r="AD73" i="11"/>
  <c r="R73" i="11"/>
  <c r="V138" i="11"/>
  <c r="AM73" i="11"/>
  <c r="H73" i="11"/>
  <c r="N73" i="11"/>
  <c r="O73" i="11"/>
  <c r="I73" i="11"/>
  <c r="AC73" i="11"/>
  <c r="D73" i="11"/>
  <c r="AJ73" i="11"/>
  <c r="AH73" i="11"/>
  <c r="Y73" i="11"/>
  <c r="AQ73" i="11"/>
  <c r="S73" i="11"/>
  <c r="AP73" i="11"/>
  <c r="T73" i="11"/>
  <c r="AL73" i="11"/>
  <c r="G73" i="11"/>
  <c r="F73" i="11"/>
  <c r="F150" i="11" s="1"/>
  <c r="W73" i="11"/>
  <c r="AK73" i="11"/>
  <c r="AA73" i="11"/>
  <c r="AO73" i="11"/>
  <c r="X73" i="11"/>
  <c r="K73" i="11"/>
  <c r="J98" i="9"/>
  <c r="T70" i="11"/>
  <c r="C135" i="11"/>
  <c r="AP70" i="11"/>
  <c r="AM70" i="11"/>
  <c r="AG70" i="11"/>
  <c r="AK70" i="11"/>
  <c r="AC70" i="11"/>
  <c r="AF70" i="11"/>
  <c r="AE70" i="11"/>
  <c r="X70" i="11"/>
  <c r="AQ70" i="11"/>
  <c r="AN70" i="11"/>
  <c r="M70" i="11"/>
  <c r="K70" i="11"/>
  <c r="AL70" i="11"/>
  <c r="V70" i="11"/>
  <c r="G70" i="11"/>
  <c r="G147" i="11" s="1"/>
  <c r="I135" i="11"/>
  <c r="N70" i="11"/>
  <c r="L70" i="11"/>
  <c r="AB70" i="11"/>
  <c r="R70" i="11"/>
  <c r="AH70" i="11"/>
  <c r="AI70" i="11"/>
  <c r="F70" i="11"/>
  <c r="F147" i="11" s="1"/>
  <c r="W70" i="11"/>
  <c r="AJ70" i="11"/>
  <c r="E70" i="11"/>
  <c r="E147" i="11" s="1"/>
  <c r="H70" i="11"/>
  <c r="Y70" i="11"/>
  <c r="O70" i="11"/>
  <c r="AD70" i="11"/>
  <c r="U70" i="11"/>
  <c r="P70" i="11"/>
  <c r="AA70" i="11"/>
  <c r="AO70" i="11"/>
  <c r="S70" i="11"/>
  <c r="J70" i="11"/>
  <c r="Z70" i="11"/>
  <c r="Q70" i="11"/>
  <c r="S135" i="11" l="1"/>
  <c r="S147" i="11"/>
  <c r="U135" i="11"/>
  <c r="U147" i="11"/>
  <c r="H135" i="11"/>
  <c r="H147" i="11"/>
  <c r="M135" i="11"/>
  <c r="M147" i="11"/>
  <c r="AE135" i="11"/>
  <c r="AE147" i="11"/>
  <c r="AG135" i="11"/>
  <c r="AG147" i="11"/>
  <c r="T135" i="11"/>
  <c r="T147" i="11"/>
  <c r="AO138" i="11"/>
  <c r="AO150" i="11"/>
  <c r="AP138" i="11"/>
  <c r="AP150" i="11"/>
  <c r="AM138" i="11"/>
  <c r="AM150" i="11"/>
  <c r="P138" i="11"/>
  <c r="P150" i="11"/>
  <c r="Q135" i="11"/>
  <c r="Q147" i="11"/>
  <c r="AO135" i="11"/>
  <c r="AO147" i="11"/>
  <c r="AD135" i="11"/>
  <c r="AD147" i="11"/>
  <c r="AI135" i="11"/>
  <c r="AI147" i="11"/>
  <c r="L135" i="11"/>
  <c r="L147" i="11"/>
  <c r="V135" i="11"/>
  <c r="V147" i="11"/>
  <c r="AN135" i="11"/>
  <c r="AN147" i="11"/>
  <c r="AF135" i="11"/>
  <c r="AF147" i="11"/>
  <c r="AM135" i="11"/>
  <c r="AM147" i="11"/>
  <c r="AA138" i="11"/>
  <c r="AA150" i="11"/>
  <c r="G138" i="11"/>
  <c r="G150" i="11"/>
  <c r="S138" i="11"/>
  <c r="S150" i="11"/>
  <c r="AJ138" i="11"/>
  <c r="AJ150" i="11"/>
  <c r="O138" i="11"/>
  <c r="O150" i="11"/>
  <c r="U138" i="11"/>
  <c r="U150" i="11"/>
  <c r="AF138" i="11"/>
  <c r="AF150" i="11"/>
  <c r="Q138" i="11"/>
  <c r="Q150" i="11"/>
  <c r="AE138" i="11"/>
  <c r="AE150" i="11"/>
  <c r="Z135" i="11"/>
  <c r="Z147" i="11"/>
  <c r="AA135" i="11"/>
  <c r="AA147" i="11"/>
  <c r="O135" i="11"/>
  <c r="O147" i="11"/>
  <c r="AJ135" i="11"/>
  <c r="AJ147" i="11"/>
  <c r="AH135" i="11"/>
  <c r="AH147" i="11"/>
  <c r="N135" i="11"/>
  <c r="N147" i="11"/>
  <c r="AL135" i="11"/>
  <c r="AL147" i="11"/>
  <c r="AQ135" i="11"/>
  <c r="AQ147" i="11"/>
  <c r="AC135" i="11"/>
  <c r="AC147" i="11"/>
  <c r="AP135" i="11"/>
  <c r="AP147" i="11"/>
  <c r="K138" i="11"/>
  <c r="K150" i="11"/>
  <c r="AK138" i="11"/>
  <c r="AK150" i="11"/>
  <c r="AL138" i="11"/>
  <c r="AL150" i="11"/>
  <c r="AQ138" i="11"/>
  <c r="AQ150" i="11"/>
  <c r="D138" i="11"/>
  <c r="D150" i="11"/>
  <c r="N138" i="11"/>
  <c r="N150" i="11"/>
  <c r="R138" i="11"/>
  <c r="R150" i="11"/>
  <c r="J138" i="11"/>
  <c r="J150" i="11"/>
  <c r="M138" i="11"/>
  <c r="M150" i="11"/>
  <c r="AN138" i="11"/>
  <c r="AN150" i="11"/>
  <c r="AB135" i="11"/>
  <c r="AB147" i="11"/>
  <c r="AH138" i="11"/>
  <c r="AH150" i="11"/>
  <c r="I138" i="11"/>
  <c r="I150" i="11"/>
  <c r="Z138" i="11"/>
  <c r="Z150" i="11"/>
  <c r="J135" i="11"/>
  <c r="J147" i="11"/>
  <c r="P135" i="11"/>
  <c r="P147" i="11"/>
  <c r="Y135" i="11"/>
  <c r="Y147" i="11"/>
  <c r="W135" i="11"/>
  <c r="W147" i="11"/>
  <c r="R135" i="11"/>
  <c r="R147" i="11"/>
  <c r="K135" i="11"/>
  <c r="K147" i="11"/>
  <c r="X135" i="11"/>
  <c r="X147" i="11"/>
  <c r="AK135" i="11"/>
  <c r="AK147" i="11"/>
  <c r="X138" i="11"/>
  <c r="X150" i="11"/>
  <c r="W138" i="11"/>
  <c r="W150" i="11"/>
  <c r="T138" i="11"/>
  <c r="T150" i="11"/>
  <c r="Y138" i="11"/>
  <c r="Y150" i="11"/>
  <c r="AC138" i="11"/>
  <c r="AC150" i="11"/>
  <c r="H138" i="11"/>
  <c r="H150" i="11"/>
  <c r="AD138" i="11"/>
  <c r="AD150" i="11"/>
  <c r="AG138" i="11"/>
  <c r="AG150" i="11"/>
  <c r="AI138" i="11"/>
  <c r="AI150" i="11"/>
  <c r="AB138" i="11"/>
  <c r="AB150" i="11"/>
  <c r="AP118" i="11"/>
  <c r="AP127" i="11" s="1"/>
  <c r="AL118" i="11"/>
  <c r="AL127" i="11" s="1"/>
  <c r="AH118" i="11"/>
  <c r="AH127" i="11" s="1"/>
  <c r="M102" i="9"/>
  <c r="L102" i="9"/>
  <c r="M97" i="9"/>
  <c r="L97" i="9"/>
  <c r="K97" i="9"/>
  <c r="E72" i="11"/>
  <c r="E149" i="11" s="1"/>
  <c r="F24" i="9"/>
  <c r="F23" i="9" s="1"/>
  <c r="F25" i="9"/>
  <c r="F31" i="9" s="1"/>
  <c r="F32" i="9" s="1"/>
  <c r="AG72" i="11"/>
  <c r="P72" i="11"/>
  <c r="P149" i="11" s="1"/>
  <c r="Z72" i="11"/>
  <c r="Z149" i="11" s="1"/>
  <c r="S72" i="11"/>
  <c r="S149" i="11" s="1"/>
  <c r="K72" i="11"/>
  <c r="K149" i="11" s="1"/>
  <c r="C137" i="11"/>
  <c r="O72" i="11"/>
  <c r="O149" i="11" s="1"/>
  <c r="U72" i="11"/>
  <c r="U149" i="11" s="1"/>
  <c r="N72" i="11"/>
  <c r="N149" i="11" s="1"/>
  <c r="AK72" i="11"/>
  <c r="AQ72" i="11"/>
  <c r="AL72" i="11"/>
  <c r="AI72" i="11"/>
  <c r="AB72" i="11"/>
  <c r="AB149" i="11" s="1"/>
  <c r="D72" i="11"/>
  <c r="D149" i="11" s="1"/>
  <c r="H72" i="11"/>
  <c r="H149" i="11" s="1"/>
  <c r="AP72" i="11"/>
  <c r="AC72" i="11"/>
  <c r="AC149" i="11" s="1"/>
  <c r="R72" i="11"/>
  <c r="R149" i="11" s="1"/>
  <c r="AM72" i="11"/>
  <c r="AE72" i="11"/>
  <c r="AE149" i="11" s="1"/>
  <c r="F72" i="11"/>
  <c r="F149" i="11" s="1"/>
  <c r="J72" i="11"/>
  <c r="J149" i="11" s="1"/>
  <c r="T72" i="11"/>
  <c r="T149" i="11" s="1"/>
  <c r="AD72" i="11"/>
  <c r="AD149" i="11" s="1"/>
  <c r="M72" i="11"/>
  <c r="M149" i="11" s="1"/>
  <c r="Y72" i="11"/>
  <c r="Y149" i="11" s="1"/>
  <c r="V72" i="11"/>
  <c r="V149" i="11" s="1"/>
  <c r="AF72" i="11"/>
  <c r="Q72" i="11"/>
  <c r="Q149" i="11" s="1"/>
  <c r="W72" i="11"/>
  <c r="W149" i="11" s="1"/>
  <c r="AO72" i="11"/>
  <c r="L72" i="11"/>
  <c r="L149" i="11" s="1"/>
  <c r="AJ72" i="11"/>
  <c r="G72" i="11"/>
  <c r="G149" i="11" s="1"/>
  <c r="AN72" i="11"/>
  <c r="AA72" i="11"/>
  <c r="AA149" i="11" s="1"/>
  <c r="I72" i="11"/>
  <c r="I149" i="11" s="1"/>
  <c r="AH72" i="11"/>
  <c r="X72" i="11"/>
  <c r="X149" i="11" s="1"/>
  <c r="C76" i="11"/>
  <c r="C71" i="11"/>
  <c r="C148" i="11" s="1"/>
  <c r="J102" i="9"/>
  <c r="K102" i="9"/>
  <c r="E138" i="11"/>
  <c r="F138" i="11"/>
  <c r="H75" i="11"/>
  <c r="H152" i="11" s="1"/>
  <c r="E75" i="11"/>
  <c r="E152" i="11" s="1"/>
  <c r="C140" i="11"/>
  <c r="F135" i="11"/>
  <c r="G135" i="11"/>
  <c r="AN75" i="11"/>
  <c r="E135" i="11"/>
  <c r="D135" i="11"/>
  <c r="R75" i="11"/>
  <c r="R152" i="11" s="1"/>
  <c r="AH75" i="11"/>
  <c r="AO75" i="11"/>
  <c r="U75" i="11"/>
  <c r="U152" i="11" s="1"/>
  <c r="M75" i="11"/>
  <c r="M152" i="11" s="1"/>
  <c r="S75" i="11"/>
  <c r="S152" i="11" s="1"/>
  <c r="AQ75" i="11"/>
  <c r="AF75" i="11"/>
  <c r="T75" i="11"/>
  <c r="T152" i="11" s="1"/>
  <c r="AD75" i="11"/>
  <c r="AD152" i="11" s="1"/>
  <c r="D75" i="11"/>
  <c r="D152" i="11" s="1"/>
  <c r="Q75" i="11"/>
  <c r="Q152" i="11" s="1"/>
  <c r="AJ75" i="11"/>
  <c r="AG75" i="11"/>
  <c r="I75" i="11"/>
  <c r="I152" i="11" s="1"/>
  <c r="AC75" i="11"/>
  <c r="AC152" i="11" s="1"/>
  <c r="N75" i="11"/>
  <c r="N152" i="11" s="1"/>
  <c r="K75" i="11"/>
  <c r="K152" i="11" s="1"/>
  <c r="V75" i="11"/>
  <c r="V152" i="11" s="1"/>
  <c r="AK75" i="11"/>
  <c r="G75" i="11"/>
  <c r="G152" i="11" s="1"/>
  <c r="Y75" i="11"/>
  <c r="Y152" i="11" s="1"/>
  <c r="F75" i="11"/>
  <c r="F152" i="11" s="1"/>
  <c r="O75" i="11"/>
  <c r="O152" i="11" s="1"/>
  <c r="W75" i="11"/>
  <c r="W152" i="11" s="1"/>
  <c r="AI75" i="11"/>
  <c r="AB75" i="11"/>
  <c r="AB152" i="11" s="1"/>
  <c r="AA75" i="11"/>
  <c r="AA152" i="11" s="1"/>
  <c r="Z75" i="11"/>
  <c r="Z152" i="11" s="1"/>
  <c r="AP75" i="11"/>
  <c r="L75" i="11"/>
  <c r="L152" i="11" s="1"/>
  <c r="AL75" i="11"/>
  <c r="J75" i="11"/>
  <c r="J152" i="11" s="1"/>
  <c r="P75" i="11"/>
  <c r="P152" i="11" s="1"/>
  <c r="X75" i="11"/>
  <c r="X152" i="11" s="1"/>
  <c r="AE75" i="11"/>
  <c r="AE152" i="11" s="1"/>
  <c r="AM75" i="11"/>
  <c r="AJ137" i="11" l="1"/>
  <c r="AJ149" i="11"/>
  <c r="AK137" i="11"/>
  <c r="AK149" i="11"/>
  <c r="AQ140" i="11"/>
  <c r="AQ152" i="11"/>
  <c r="C141" i="11"/>
  <c r="C153" i="11"/>
  <c r="AP140" i="11"/>
  <c r="AP152" i="11"/>
  <c r="AI140" i="11"/>
  <c r="AI152" i="11"/>
  <c r="AG140" i="11"/>
  <c r="AG152" i="11"/>
  <c r="AH140" i="11"/>
  <c r="AH152" i="11"/>
  <c r="AN140" i="11"/>
  <c r="AN152" i="11"/>
  <c r="AN137" i="11"/>
  <c r="AN149" i="11"/>
  <c r="AO137" i="11"/>
  <c r="AO149" i="11"/>
  <c r="AM137" i="11"/>
  <c r="AM149" i="11"/>
  <c r="AL137" i="11"/>
  <c r="AL149" i="11"/>
  <c r="AL140" i="11"/>
  <c r="AL152" i="11"/>
  <c r="AK140" i="11"/>
  <c r="AK152" i="11"/>
  <c r="AF140" i="11"/>
  <c r="AF152" i="11"/>
  <c r="AO140" i="11"/>
  <c r="AO152" i="11"/>
  <c r="AF137" i="11"/>
  <c r="AF149" i="11"/>
  <c r="AP137" i="11"/>
  <c r="AP149" i="11"/>
  <c r="AI137" i="11"/>
  <c r="AI149" i="11"/>
  <c r="AG137" i="11"/>
  <c r="AG149" i="11"/>
  <c r="AM140" i="11"/>
  <c r="AM152" i="11"/>
  <c r="AJ140" i="11"/>
  <c r="AJ152" i="11"/>
  <c r="AH137" i="11"/>
  <c r="AH149" i="11"/>
  <c r="AQ137" i="11"/>
  <c r="AQ149" i="11"/>
  <c r="AI118" i="11"/>
  <c r="AI127" i="11" s="1"/>
  <c r="AQ118" i="11"/>
  <c r="AQ127" i="11" s="1"/>
  <c r="AF118" i="11"/>
  <c r="AF127" i="11" s="1"/>
  <c r="AJ118" i="11"/>
  <c r="AJ127" i="11" s="1"/>
  <c r="AN118" i="11"/>
  <c r="AN127" i="11" s="1"/>
  <c r="AO118" i="11"/>
  <c r="AO127" i="11" s="1"/>
  <c r="AM118" i="11"/>
  <c r="AM127" i="11" s="1"/>
  <c r="AG118" i="11"/>
  <c r="AG127" i="11" s="1"/>
  <c r="AE140" i="11"/>
  <c r="U140" i="11"/>
  <c r="AG101" i="11"/>
  <c r="AG110" i="11" s="1"/>
  <c r="AG165" i="11" s="1"/>
  <c r="Q140" i="11"/>
  <c r="L140" i="11"/>
  <c r="AB140" i="11"/>
  <c r="Y140" i="11"/>
  <c r="AK101" i="11"/>
  <c r="AK110" i="11" s="1"/>
  <c r="K140" i="11"/>
  <c r="AD140" i="11"/>
  <c r="AP101" i="11"/>
  <c r="AP110" i="11" s="1"/>
  <c r="AP165" i="11" s="1"/>
  <c r="S140" i="11"/>
  <c r="E140" i="11"/>
  <c r="AA140" i="11"/>
  <c r="O140" i="11"/>
  <c r="AC140" i="11"/>
  <c r="AO101" i="11"/>
  <c r="AO110" i="11" s="1"/>
  <c r="AO165" i="11" s="1"/>
  <c r="X140" i="11"/>
  <c r="V140" i="11"/>
  <c r="AH101" i="11"/>
  <c r="AH110" i="11" s="1"/>
  <c r="AH165" i="11" s="1"/>
  <c r="I140" i="11"/>
  <c r="P140" i="11"/>
  <c r="J140" i="11"/>
  <c r="Z140" i="11"/>
  <c r="AL101" i="11"/>
  <c r="AL110" i="11" s="1"/>
  <c r="AL165" i="11" s="1"/>
  <c r="W140" i="11"/>
  <c r="N140" i="11"/>
  <c r="T140" i="11"/>
  <c r="M140" i="11"/>
  <c r="R140" i="11"/>
  <c r="H140" i="11"/>
  <c r="AA137" i="11"/>
  <c r="L137" i="11"/>
  <c r="AD137" i="11"/>
  <c r="AE137" i="11"/>
  <c r="N137" i="11"/>
  <c r="K137" i="11"/>
  <c r="X137" i="11"/>
  <c r="V137" i="11"/>
  <c r="T137" i="11"/>
  <c r="H137" i="11"/>
  <c r="U137" i="11"/>
  <c r="S137" i="11"/>
  <c r="G137" i="11"/>
  <c r="W137" i="11"/>
  <c r="Y137" i="11"/>
  <c r="J137" i="11"/>
  <c r="R137" i="11"/>
  <c r="D137" i="11"/>
  <c r="O137" i="11"/>
  <c r="Z137" i="11"/>
  <c r="I137" i="11"/>
  <c r="Q137" i="11"/>
  <c r="M137" i="11"/>
  <c r="F137" i="11"/>
  <c r="AC137" i="11"/>
  <c r="AB137" i="11"/>
  <c r="P137" i="11"/>
  <c r="E137" i="11"/>
  <c r="F104" i="9"/>
  <c r="F105" i="9" s="1"/>
  <c r="F29" i="9"/>
  <c r="F28" i="9" s="1"/>
  <c r="F128" i="9"/>
  <c r="F33" i="9"/>
  <c r="F22" i="9"/>
  <c r="D71" i="11"/>
  <c r="D148" i="11" s="1"/>
  <c r="F71" i="11"/>
  <c r="F148" i="11" s="1"/>
  <c r="Q76" i="11"/>
  <c r="I76" i="11"/>
  <c r="AC76" i="11"/>
  <c r="E76" i="11"/>
  <c r="U76" i="11"/>
  <c r="AA76" i="11"/>
  <c r="G76" i="11"/>
  <c r="Z76" i="11"/>
  <c r="S76" i="11"/>
  <c r="AJ76" i="11"/>
  <c r="AG76" i="11"/>
  <c r="AD76" i="11"/>
  <c r="AL76" i="11"/>
  <c r="H76" i="11"/>
  <c r="AB76" i="11"/>
  <c r="AP76" i="11"/>
  <c r="X76" i="11"/>
  <c r="AO76" i="11"/>
  <c r="AM76" i="11"/>
  <c r="O76" i="11"/>
  <c r="F76" i="11"/>
  <c r="V76" i="11"/>
  <c r="K76" i="11"/>
  <c r="AN76" i="11"/>
  <c r="AI76" i="11"/>
  <c r="W76" i="11"/>
  <c r="Y76" i="11"/>
  <c r="J76" i="11"/>
  <c r="R76" i="11"/>
  <c r="AQ76" i="11"/>
  <c r="P76" i="11"/>
  <c r="AE76" i="11"/>
  <c r="T76" i="11"/>
  <c r="M76" i="11"/>
  <c r="AH76" i="11"/>
  <c r="N76" i="11"/>
  <c r="AF76" i="11"/>
  <c r="AK76" i="11"/>
  <c r="D76" i="11"/>
  <c r="L76" i="11"/>
  <c r="AO71" i="11"/>
  <c r="AO148" i="11" s="1"/>
  <c r="Z71" i="11"/>
  <c r="Z148" i="11" s="1"/>
  <c r="O71" i="11"/>
  <c r="O148" i="11" s="1"/>
  <c r="U71" i="11"/>
  <c r="U148" i="11" s="1"/>
  <c r="W71" i="11"/>
  <c r="W148" i="11" s="1"/>
  <c r="X71" i="11"/>
  <c r="X148" i="11" s="1"/>
  <c r="AQ71" i="11"/>
  <c r="AQ148" i="11" s="1"/>
  <c r="AB71" i="11"/>
  <c r="AB148" i="11" s="1"/>
  <c r="G71" i="11"/>
  <c r="G148" i="11" s="1"/>
  <c r="AG71" i="11"/>
  <c r="AG148" i="11" s="1"/>
  <c r="AF71" i="11"/>
  <c r="AF148" i="11" s="1"/>
  <c r="L71" i="11"/>
  <c r="L148" i="11" s="1"/>
  <c r="R71" i="11"/>
  <c r="R148" i="11" s="1"/>
  <c r="V71" i="11"/>
  <c r="V148" i="11" s="1"/>
  <c r="AI71" i="11"/>
  <c r="AI148" i="11" s="1"/>
  <c r="AJ71" i="11"/>
  <c r="AJ148" i="11" s="1"/>
  <c r="AA71" i="11"/>
  <c r="AA148" i="11" s="1"/>
  <c r="AC71" i="11"/>
  <c r="AC148" i="11" s="1"/>
  <c r="S71" i="11"/>
  <c r="S148" i="11" s="1"/>
  <c r="E71" i="11"/>
  <c r="E148" i="11" s="1"/>
  <c r="T71" i="11"/>
  <c r="T148" i="11" s="1"/>
  <c r="Q71" i="11"/>
  <c r="Q148" i="11" s="1"/>
  <c r="M71" i="11"/>
  <c r="M148" i="11" s="1"/>
  <c r="I71" i="11"/>
  <c r="I148" i="11" s="1"/>
  <c r="AH71" i="11"/>
  <c r="AH148" i="11" s="1"/>
  <c r="N71" i="11"/>
  <c r="N148" i="11" s="1"/>
  <c r="AP71" i="11"/>
  <c r="AP148" i="11" s="1"/>
  <c r="AM71" i="11"/>
  <c r="AM148" i="11" s="1"/>
  <c r="P71" i="11"/>
  <c r="P148" i="11" s="1"/>
  <c r="K71" i="11"/>
  <c r="K148" i="11" s="1"/>
  <c r="AK71" i="11"/>
  <c r="AK148" i="11" s="1"/>
  <c r="AD71" i="11"/>
  <c r="AD148" i="11" s="1"/>
  <c r="Y71" i="11"/>
  <c r="Y148" i="11" s="1"/>
  <c r="H71" i="11"/>
  <c r="H148" i="11" s="1"/>
  <c r="J71" i="11"/>
  <c r="J148" i="11" s="1"/>
  <c r="AN71" i="11"/>
  <c r="AN148" i="11" s="1"/>
  <c r="AE71" i="11"/>
  <c r="AE148" i="11" s="1"/>
  <c r="AL71" i="11"/>
  <c r="AL148" i="11" s="1"/>
  <c r="F140" i="11"/>
  <c r="D140" i="11"/>
  <c r="G140" i="11"/>
  <c r="AO177" i="11" l="1"/>
  <c r="D141" i="11"/>
  <c r="D153" i="11"/>
  <c r="P141" i="11"/>
  <c r="P153" i="11"/>
  <c r="K141" i="11"/>
  <c r="K153" i="11"/>
  <c r="AG141" i="11"/>
  <c r="AG153" i="11"/>
  <c r="AK141" i="11"/>
  <c r="AK153" i="11"/>
  <c r="M141" i="11"/>
  <c r="M153" i="11"/>
  <c r="AQ141" i="11"/>
  <c r="AQ153" i="11"/>
  <c r="W141" i="11"/>
  <c r="W153" i="11"/>
  <c r="V141" i="11"/>
  <c r="V153" i="11"/>
  <c r="AO141" i="11"/>
  <c r="AO153" i="11"/>
  <c r="H141" i="11"/>
  <c r="H153" i="11"/>
  <c r="AJ141" i="11"/>
  <c r="AJ153" i="11"/>
  <c r="AA141" i="11"/>
  <c r="AA153" i="11"/>
  <c r="I141" i="11"/>
  <c r="I153" i="11"/>
  <c r="L141" i="11"/>
  <c r="L153" i="11"/>
  <c r="N141" i="11"/>
  <c r="N153" i="11"/>
  <c r="AE141" i="11"/>
  <c r="AE153" i="11"/>
  <c r="J141" i="11"/>
  <c r="J153" i="11"/>
  <c r="AN141" i="11"/>
  <c r="AN153" i="11"/>
  <c r="O141" i="11"/>
  <c r="O153" i="11"/>
  <c r="AP141" i="11"/>
  <c r="AP153" i="11"/>
  <c r="AD141" i="11"/>
  <c r="AD153" i="11"/>
  <c r="Z141" i="11"/>
  <c r="Z153" i="11"/>
  <c r="E141" i="11"/>
  <c r="E153" i="11"/>
  <c r="AH141" i="11"/>
  <c r="AH153" i="11"/>
  <c r="Y141" i="11"/>
  <c r="Y153" i="11"/>
  <c r="AM141" i="11"/>
  <c r="AM153" i="11"/>
  <c r="AB141" i="11"/>
  <c r="AB153" i="11"/>
  <c r="G141" i="11"/>
  <c r="G153" i="11"/>
  <c r="AC141" i="11"/>
  <c r="AC153" i="11"/>
  <c r="AF141" i="11"/>
  <c r="AF153" i="11"/>
  <c r="T141" i="11"/>
  <c r="T153" i="11"/>
  <c r="R141" i="11"/>
  <c r="R153" i="11"/>
  <c r="AI141" i="11"/>
  <c r="AI153" i="11"/>
  <c r="F141" i="11"/>
  <c r="F153" i="11"/>
  <c r="X141" i="11"/>
  <c r="X153" i="11"/>
  <c r="AL141" i="11"/>
  <c r="AL153" i="11"/>
  <c r="S141" i="11"/>
  <c r="S153" i="11"/>
  <c r="U141" i="11"/>
  <c r="U153" i="11"/>
  <c r="Q141" i="11"/>
  <c r="Q153" i="11"/>
  <c r="AH177" i="11"/>
  <c r="AG177" i="11"/>
  <c r="AP177" i="11"/>
  <c r="AK165" i="11"/>
  <c r="AK177" i="11"/>
  <c r="AL177" i="11"/>
  <c r="AM101" i="11"/>
  <c r="AM110" i="11" s="1"/>
  <c r="AM165" i="11" s="1"/>
  <c r="AN101" i="11"/>
  <c r="AN110" i="11" s="1"/>
  <c r="AN165" i="11" s="1"/>
  <c r="AF101" i="11"/>
  <c r="AF110" i="11" s="1"/>
  <c r="AF165" i="11" s="1"/>
  <c r="AI101" i="11"/>
  <c r="AI110" i="11" s="1"/>
  <c r="AI165" i="11" s="1"/>
  <c r="AJ101" i="11"/>
  <c r="AJ110" i="11" s="1"/>
  <c r="AJ165" i="11" s="1"/>
  <c r="AQ101" i="11"/>
  <c r="AQ110" i="11" s="1"/>
  <c r="AQ165" i="11" s="1"/>
  <c r="K104" i="9"/>
  <c r="J104" i="9"/>
  <c r="M104" i="9"/>
  <c r="L104" i="9"/>
  <c r="M128" i="9"/>
  <c r="L128" i="9"/>
  <c r="K128" i="9"/>
  <c r="J128" i="9"/>
  <c r="C78" i="11"/>
  <c r="C155" i="11" s="1"/>
  <c r="F106" i="9"/>
  <c r="F114" i="9"/>
  <c r="F127" i="9"/>
  <c r="F119" i="9"/>
  <c r="F118" i="9"/>
  <c r="AM177" i="11" l="1"/>
  <c r="AF177" i="11"/>
  <c r="AI177" i="11"/>
  <c r="AJ177" i="11"/>
  <c r="AN177" i="11"/>
  <c r="AQ177" i="11"/>
  <c r="M118" i="9"/>
  <c r="L118" i="9"/>
  <c r="L106" i="9"/>
  <c r="M106" i="9"/>
  <c r="M114" i="9"/>
  <c r="L114" i="9"/>
  <c r="L119" i="9"/>
  <c r="M119" i="9"/>
  <c r="L127" i="9"/>
  <c r="M127" i="9"/>
  <c r="K127" i="9"/>
  <c r="J127" i="9"/>
  <c r="M105" i="9"/>
  <c r="L105" i="9"/>
  <c r="C143" i="11"/>
  <c r="K106" i="9"/>
  <c r="AE78" i="11"/>
  <c r="AG78" i="11"/>
  <c r="J105" i="9"/>
  <c r="J78" i="11"/>
  <c r="V78" i="11"/>
  <c r="AK78" i="11"/>
  <c r="W78" i="11"/>
  <c r="AC78" i="11"/>
  <c r="K105" i="9"/>
  <c r="Y78" i="11"/>
  <c r="P78" i="11"/>
  <c r="AB78" i="11"/>
  <c r="J106" i="9"/>
  <c r="F78" i="11"/>
  <c r="F155" i="11" s="1"/>
  <c r="AA78" i="11"/>
  <c r="K78" i="11"/>
  <c r="AI78" i="11"/>
  <c r="AO78" i="11"/>
  <c r="S78" i="11"/>
  <c r="X78" i="11"/>
  <c r="AP78" i="11"/>
  <c r="AL78" i="11"/>
  <c r="U78" i="11"/>
  <c r="E78" i="11"/>
  <c r="D78" i="11"/>
  <c r="D155" i="11" s="1"/>
  <c r="N78" i="11"/>
  <c r="AN78" i="11"/>
  <c r="R78" i="11"/>
  <c r="H78" i="11"/>
  <c r="O78" i="11"/>
  <c r="AQ78" i="11"/>
  <c r="M78" i="11"/>
  <c r="L78" i="11"/>
  <c r="AD78" i="11"/>
  <c r="Q78" i="11"/>
  <c r="AM78" i="11"/>
  <c r="AF78" i="11"/>
  <c r="Z78" i="11"/>
  <c r="T78" i="11"/>
  <c r="AJ78" i="11"/>
  <c r="G78" i="11"/>
  <c r="AH78" i="11"/>
  <c r="I78" i="11"/>
  <c r="F113" i="9"/>
  <c r="K119" i="9"/>
  <c r="J119" i="9"/>
  <c r="J114" i="9"/>
  <c r="K114" i="9"/>
  <c r="K118" i="9"/>
  <c r="J118" i="9"/>
  <c r="Q143" i="11" l="1"/>
  <c r="Q155" i="11"/>
  <c r="U143" i="11"/>
  <c r="U155" i="11"/>
  <c r="P143" i="11"/>
  <c r="P155" i="11"/>
  <c r="AH143" i="11"/>
  <c r="AH155" i="11"/>
  <c r="Z143" i="11"/>
  <c r="Z155" i="11"/>
  <c r="AD143" i="11"/>
  <c r="AD155" i="11"/>
  <c r="O143" i="11"/>
  <c r="O155" i="11"/>
  <c r="N143" i="11"/>
  <c r="N155" i="11"/>
  <c r="AL143" i="11"/>
  <c r="AL155" i="11"/>
  <c r="AO143" i="11"/>
  <c r="AO155" i="11"/>
  <c r="Y143" i="11"/>
  <c r="Y155" i="11"/>
  <c r="AK143" i="11"/>
  <c r="AK155" i="11"/>
  <c r="AG143" i="11"/>
  <c r="AG155" i="11"/>
  <c r="I143" i="11"/>
  <c r="I155" i="11"/>
  <c r="AQ143" i="11"/>
  <c r="AQ155" i="11"/>
  <c r="AA143" i="11"/>
  <c r="AA155" i="11"/>
  <c r="G143" i="11"/>
  <c r="G155" i="11"/>
  <c r="L143" i="11"/>
  <c r="L155" i="11"/>
  <c r="AP143" i="11"/>
  <c r="AP155" i="11"/>
  <c r="AI143" i="11"/>
  <c r="AI155" i="11"/>
  <c r="V143" i="11"/>
  <c r="V155" i="11"/>
  <c r="AE143" i="11"/>
  <c r="AE155" i="11"/>
  <c r="T143" i="11"/>
  <c r="T155" i="11"/>
  <c r="AN143" i="11"/>
  <c r="AN155" i="11"/>
  <c r="S143" i="11"/>
  <c r="S155" i="11"/>
  <c r="W143" i="11"/>
  <c r="W155" i="11"/>
  <c r="AF143" i="11"/>
  <c r="AF155" i="11"/>
  <c r="H143" i="11"/>
  <c r="H155" i="11"/>
  <c r="AJ143" i="11"/>
  <c r="AJ155" i="11"/>
  <c r="AM143" i="11"/>
  <c r="AM155" i="11"/>
  <c r="M143" i="11"/>
  <c r="M155" i="11"/>
  <c r="R143" i="11"/>
  <c r="R155" i="11"/>
  <c r="E143" i="11"/>
  <c r="E155" i="11"/>
  <c r="X143" i="11"/>
  <c r="X155" i="11"/>
  <c r="K143" i="11"/>
  <c r="K155" i="11"/>
  <c r="AB143" i="11"/>
  <c r="AB155" i="11"/>
  <c r="AC143" i="11"/>
  <c r="AC155" i="11"/>
  <c r="J143" i="11"/>
  <c r="J155" i="11"/>
  <c r="L113" i="9"/>
  <c r="M113" i="9"/>
  <c r="D143" i="11"/>
  <c r="F143" i="11"/>
  <c r="K113" i="9"/>
  <c r="J113" i="9"/>
</calcChain>
</file>

<file path=xl/sharedStrings.xml><?xml version="1.0" encoding="utf-8"?>
<sst xmlns="http://schemas.openxmlformats.org/spreadsheetml/2006/main" count="1941" uniqueCount="195">
  <si>
    <t>Tariff year 2019</t>
  </si>
  <si>
    <t>%</t>
  </si>
  <si>
    <t>Capacity</t>
  </si>
  <si>
    <t>Commodity</t>
  </si>
  <si>
    <t>MWh/day/year</t>
  </si>
  <si>
    <t>EUR/MWh/day/year</t>
  </si>
  <si>
    <r>
      <t>Entry</t>
    </r>
    <r>
      <rPr>
        <sz val="9"/>
        <color theme="1"/>
        <rFont val="Calibri"/>
        <family val="2"/>
        <charset val="186"/>
        <scheme val="minor"/>
      </rPr>
      <t xml:space="preserve"> </t>
    </r>
  </si>
  <si>
    <t xml:space="preserve">Exit </t>
  </si>
  <si>
    <t>Tariff year 2020</t>
  </si>
  <si>
    <t>TEUR</t>
  </si>
  <si>
    <t>-</t>
  </si>
  <si>
    <t>(LT) Domestic Exit Point</t>
  </si>
  <si>
    <t>EUR/MWh</t>
  </si>
  <si>
    <t xml:space="preserve">   thereof allocated for revenue for consumption capacity</t>
  </si>
  <si>
    <t xml:space="preserve">Capacity-based tariffs: Reserve prices (for firm yearly capacity products) </t>
  </si>
  <si>
    <r>
      <t>Forecast of capacity booking</t>
    </r>
    <r>
      <rPr>
        <b/>
        <vertAlign val="superscript"/>
        <sz val="10"/>
        <color theme="1"/>
        <rFont val="Calibri"/>
        <family val="2"/>
        <charset val="186"/>
        <scheme val="minor"/>
      </rPr>
      <t>1</t>
    </r>
    <r>
      <rPr>
        <i/>
        <sz val="10"/>
        <color theme="1"/>
        <rFont val="Calibri"/>
        <family val="2"/>
        <charset val="186"/>
        <scheme val="minor"/>
      </rPr>
      <t xml:space="preserve"> (for derivation of capacity-based transmission tariffs) </t>
    </r>
  </si>
  <si>
    <t>MWh/year</t>
  </si>
  <si>
    <t>May</t>
  </si>
  <si>
    <t>Tariff year</t>
  </si>
  <si>
    <r>
      <t>for Group with annual Q ≤ 10.4 TWh</t>
    </r>
    <r>
      <rPr>
        <vertAlign val="superscript"/>
        <sz val="10"/>
        <color theme="1"/>
        <rFont val="Calibri"/>
        <family val="2"/>
        <charset val="186"/>
        <scheme val="minor"/>
      </rPr>
      <t>2</t>
    </r>
    <r>
      <rPr>
        <sz val="10"/>
        <color theme="1"/>
        <rFont val="Calibri"/>
        <family val="2"/>
        <charset val="186"/>
        <scheme val="minor"/>
      </rPr>
      <t xml:space="preserve"> </t>
    </r>
  </si>
  <si>
    <r>
      <t>for Group with annual Q &gt; 10.4 TWh</t>
    </r>
    <r>
      <rPr>
        <vertAlign val="superscript"/>
        <sz val="10"/>
        <color theme="1"/>
        <rFont val="Calibri"/>
        <family val="2"/>
        <charset val="186"/>
        <scheme val="minor"/>
      </rPr>
      <t>3</t>
    </r>
    <r>
      <rPr>
        <sz val="10"/>
        <color theme="1"/>
        <rFont val="Calibri"/>
        <family val="2"/>
        <charset val="186"/>
        <scheme val="minor"/>
      </rPr>
      <t xml:space="preserve"> </t>
    </r>
  </si>
  <si>
    <t>Q</t>
  </si>
  <si>
    <t>M</t>
  </si>
  <si>
    <t>D/WD</t>
  </si>
  <si>
    <t>Jan</t>
  </si>
  <si>
    <t>Feb</t>
  </si>
  <si>
    <t>Mar</t>
  </si>
  <si>
    <t>Apr</t>
  </si>
  <si>
    <t>Jun</t>
  </si>
  <si>
    <t>Jul</t>
  </si>
  <si>
    <t>Aug</t>
  </si>
  <si>
    <t>Sep</t>
  </si>
  <si>
    <t>Oct</t>
  </si>
  <si>
    <t>Nov</t>
  </si>
  <si>
    <t>Dec</t>
  </si>
  <si>
    <t>Number of days per year</t>
  </si>
  <si>
    <t>Number of days per Quarter</t>
  </si>
  <si>
    <t>Number of days per Month</t>
  </si>
  <si>
    <t>Average</t>
  </si>
  <si>
    <t>Q I</t>
  </si>
  <si>
    <t>Q II</t>
  </si>
  <si>
    <t>Q III</t>
  </si>
  <si>
    <t>Q IV</t>
  </si>
  <si>
    <t>Number of calendar days per years/quarters/months:</t>
  </si>
  <si>
    <t>For Quarterly products</t>
  </si>
  <si>
    <t>For Daily/Within-day products</t>
  </si>
  <si>
    <t>For Monthly products</t>
  </si>
  <si>
    <t>For all Entry points</t>
  </si>
  <si>
    <t>SFs for (LT) Domestic Exit Point:</t>
  </si>
  <si>
    <t>Seasonal factors (SFs):</t>
  </si>
  <si>
    <r>
      <t>Multipliers (Ms)</t>
    </r>
    <r>
      <rPr>
        <i/>
        <sz val="10"/>
        <color theme="1"/>
        <rFont val="Calibri"/>
        <family val="2"/>
        <charset val="186"/>
        <scheme val="minor"/>
      </rPr>
      <t xml:space="preserve"> (for Quarterly (Q), Monthly (M), Daily/Within-day (D/WD) capacity products)</t>
    </r>
    <r>
      <rPr>
        <b/>
        <sz val="10"/>
        <color theme="1"/>
        <rFont val="Calibri"/>
        <family val="2"/>
        <charset val="186"/>
        <scheme val="minor"/>
      </rPr>
      <t>:</t>
    </r>
  </si>
  <si>
    <t xml:space="preserve">As required per Article 15 of TAR NC </t>
  </si>
  <si>
    <t>Forecast of gas flows in 2020, MWh:</t>
  </si>
  <si>
    <t>Total</t>
  </si>
  <si>
    <t>Forecasted flows for each gas month</t>
  </si>
  <si>
    <r>
      <t xml:space="preserve">Step 1:
Article 15(3)(a), (b): </t>
    </r>
    <r>
      <rPr>
        <i/>
        <sz val="10"/>
        <color theme="1"/>
        <rFont val="Calibri"/>
        <family val="2"/>
        <charset val="186"/>
        <scheme val="minor"/>
      </rPr>
      <t>"a) for each month within a given gas year the usage of the transmission system shall be calculated on the basis of forecasted flows or forecasted contracted capacity &lt;...&gt;", "b) the resulting values referred to in point</t>
    </r>
    <r>
      <rPr>
        <b/>
        <sz val="10"/>
        <color theme="1"/>
        <rFont val="Calibri"/>
        <family val="2"/>
        <charset val="186"/>
        <scheme val="minor"/>
      </rPr>
      <t xml:space="preserve"> </t>
    </r>
    <r>
      <rPr>
        <i/>
        <sz val="10"/>
        <color theme="1"/>
        <rFont val="Calibri"/>
        <family val="2"/>
        <charset val="186"/>
        <scheme val="minor"/>
      </rPr>
      <t>(a) shall be summed up;"</t>
    </r>
  </si>
  <si>
    <t>Usage rate:</t>
  </si>
  <si>
    <t>Gas months</t>
  </si>
  <si>
    <r>
      <t xml:space="preserve">Step 2: 
Article 15(3)(c): </t>
    </r>
    <r>
      <rPr>
        <i/>
        <sz val="10"/>
        <color theme="1"/>
        <rFont val="Calibri"/>
        <family val="2"/>
        <charset val="186"/>
        <scheme val="minor"/>
      </rPr>
      <t>"c) the usage rate shall be calculated by dividing each of the resulting values referred to in point (a) by the resulting value referred to in point (b);"</t>
    </r>
  </si>
  <si>
    <r>
      <t xml:space="preserve">Step 3: 
Article 15(3)(d): </t>
    </r>
    <r>
      <rPr>
        <i/>
        <sz val="10"/>
        <color theme="1"/>
        <rFont val="Calibri"/>
        <family val="2"/>
        <charset val="186"/>
        <scheme val="minor"/>
      </rPr>
      <t>"d) each of the resulting values referred to in point (c) shall be multiplied by 12. Where the resulting values are equal to 0, these values shall be adjusted to whichever of the following is the lower: 0,1 or the lowest of the resulting values other than 0;"</t>
    </r>
  </si>
  <si>
    <t>Usage rate x 12:</t>
  </si>
  <si>
    <r>
      <t xml:space="preserve">Step 4: 
Article 15(3)(e): </t>
    </r>
    <r>
      <rPr>
        <i/>
        <sz val="10"/>
        <color theme="1"/>
        <rFont val="Calibri"/>
        <family val="2"/>
        <charset val="186"/>
        <scheme val="minor"/>
      </rPr>
      <t>"e) the initial level of the respective seasonal factors shall be calculated by raising each of the resulting values referred to in point (d) to the same power which is no less than 0 and no more than 2;"</t>
    </r>
  </si>
  <si>
    <t>Rate of power (0-2)</t>
  </si>
  <si>
    <t>Usage rate x 12 ^ rate of power (initial SF):</t>
  </si>
  <si>
    <t>Initial SF x Monthly multiplier:</t>
  </si>
  <si>
    <t>Initial SF x Daily/Within-day multiplier:</t>
  </si>
  <si>
    <t>Monthly multiplier</t>
  </si>
  <si>
    <t>Daily/Within-day multiplier</t>
  </si>
  <si>
    <r>
      <t xml:space="preserve">Step 5: 
Article 15(3)(f): </t>
    </r>
    <r>
      <rPr>
        <i/>
        <sz val="10"/>
        <color theme="1"/>
        <rFont val="Calibri"/>
        <family val="2"/>
        <charset val="186"/>
        <scheme val="minor"/>
      </rPr>
      <t xml:space="preserve">"f) the arithmetic mean of the products of the resulting values referred to in point (e) and the multiplier for monthly standard capacity products shall be calculated;"
</t>
    </r>
    <r>
      <rPr>
        <b/>
        <sz val="10"/>
        <color theme="1"/>
        <rFont val="Calibri"/>
        <family val="2"/>
        <charset val="186"/>
        <scheme val="minor"/>
      </rPr>
      <t>Article 15(4):</t>
    </r>
    <r>
      <rPr>
        <i/>
        <sz val="10"/>
        <color theme="1"/>
        <rFont val="Calibri"/>
        <family val="2"/>
        <charset val="186"/>
        <scheme val="minor"/>
      </rPr>
      <t xml:space="preserve"> "For daily standard capacity products for firm capacity and within-day standard capacity products for firm capacity, the seasonal factors shall be calculated by carrying out the steps set out in paragraph 3(f) to (h), mutatis mutandis."</t>
    </r>
  </si>
  <si>
    <t>Correction factor: Daily/Within-day</t>
  </si>
  <si>
    <t>Correction factor: Monthly</t>
  </si>
  <si>
    <t>Monthly SF (initial SF x correction factor):</t>
  </si>
  <si>
    <t>Daily/Within day  SF (initial SF x correction factor):</t>
  </si>
  <si>
    <t>Quarterly SF:</t>
  </si>
  <si>
    <t>Gas quarters</t>
  </si>
  <si>
    <r>
      <t xml:space="preserve">Step 8: 
Article 15(6): </t>
    </r>
    <r>
      <rPr>
        <i/>
        <sz val="10"/>
        <color theme="1"/>
        <rFont val="Calibri"/>
        <family val="2"/>
        <charset val="186"/>
        <scheme val="minor"/>
      </rPr>
      <t xml:space="preserve">"For all non-yearly standard capacity products for firm capacity, the values resulting from the calculation referred to in paragraphs 3 to 5 may be rounded up or down."     
</t>
    </r>
    <r>
      <rPr>
        <b/>
        <sz val="10"/>
        <color theme="1"/>
        <rFont val="Calibri"/>
        <family val="2"/>
        <charset val="186"/>
        <scheme val="minor"/>
      </rPr>
      <t/>
    </r>
  </si>
  <si>
    <r>
      <rPr>
        <b/>
        <sz val="10"/>
        <color theme="1"/>
        <rFont val="Calibri"/>
        <family val="2"/>
        <charset val="186"/>
        <scheme val="minor"/>
      </rPr>
      <t xml:space="preserve">Monthly SF </t>
    </r>
    <r>
      <rPr>
        <sz val="10"/>
        <color theme="1"/>
        <rFont val="Calibri"/>
        <family val="2"/>
        <charset val="186"/>
        <scheme val="minor"/>
      </rPr>
      <t>(final - to be applied in tariffs):</t>
    </r>
  </si>
  <si>
    <r>
      <rPr>
        <b/>
        <sz val="10"/>
        <color theme="1"/>
        <rFont val="Calibri"/>
        <family val="2"/>
        <charset val="186"/>
        <scheme val="minor"/>
      </rPr>
      <t xml:space="preserve">Daily / Within-day SF </t>
    </r>
    <r>
      <rPr>
        <sz val="10"/>
        <color theme="1"/>
        <rFont val="Calibri"/>
        <family val="2"/>
        <charset val="186"/>
        <scheme val="minor"/>
      </rPr>
      <t>(final - to be applied in tariffs):</t>
    </r>
  </si>
  <si>
    <r>
      <rPr>
        <b/>
        <sz val="10"/>
        <color theme="1"/>
        <rFont val="Calibri"/>
        <family val="2"/>
        <charset val="186"/>
        <scheme val="minor"/>
      </rPr>
      <t xml:space="preserve">Quarterly SF </t>
    </r>
    <r>
      <rPr>
        <sz val="10"/>
        <color theme="1"/>
        <rFont val="Calibri"/>
        <family val="2"/>
        <charset val="186"/>
        <scheme val="minor"/>
      </rPr>
      <t>(final - to be applied in tariffs):</t>
    </r>
  </si>
  <si>
    <t>MULTIPLIERS, SEASONAL FACTORS, NUMBER OF DAYS PER PERIODS:</t>
  </si>
  <si>
    <t>all Entry points</t>
  </si>
  <si>
    <t xml:space="preserve"> tariffs for non-yearly capacity, as a % of reference price for:</t>
  </si>
  <si>
    <r>
      <rPr>
        <sz val="10"/>
        <color theme="1"/>
        <rFont val="Calibri"/>
        <family val="2"/>
        <charset val="186"/>
        <scheme val="minor"/>
      </rPr>
      <t xml:space="preserve">Tariffs for </t>
    </r>
    <r>
      <rPr>
        <b/>
        <sz val="10"/>
        <color theme="1"/>
        <rFont val="Calibri"/>
        <family val="2"/>
        <charset val="186"/>
        <scheme val="minor"/>
      </rPr>
      <t>Quarterly capacity</t>
    </r>
  </si>
  <si>
    <r>
      <rPr>
        <sz val="10"/>
        <color theme="1"/>
        <rFont val="Calibri"/>
        <family val="2"/>
        <charset val="186"/>
        <scheme val="minor"/>
      </rPr>
      <t>Tariffs for</t>
    </r>
    <r>
      <rPr>
        <b/>
        <sz val="10"/>
        <color theme="1"/>
        <rFont val="Calibri"/>
        <family val="2"/>
        <charset val="186"/>
        <scheme val="minor"/>
      </rPr>
      <t xml:space="preserve"> Monthly capacity</t>
    </r>
  </si>
  <si>
    <t>Reference prices</t>
  </si>
  <si>
    <r>
      <t>Entry/Exit split</t>
    </r>
    <r>
      <rPr>
        <sz val="10"/>
        <color theme="1"/>
        <rFont val="Calibri"/>
        <family val="2"/>
        <charset val="186"/>
        <scheme val="minor"/>
      </rPr>
      <t xml:space="preserve"> (initial/as an input)</t>
    </r>
  </si>
  <si>
    <r>
      <t xml:space="preserve">Entry/Exit split </t>
    </r>
    <r>
      <rPr>
        <sz val="10"/>
        <color theme="1"/>
        <rFont val="Calibri"/>
        <family val="2"/>
        <charset val="186"/>
        <scheme val="minor"/>
      </rPr>
      <t>(as a result of application of RPM)</t>
    </r>
  </si>
  <si>
    <r>
      <t xml:space="preserve">Part of AR, </t>
    </r>
    <r>
      <rPr>
        <sz val="10"/>
        <color theme="1"/>
        <rFont val="Calibri"/>
        <family val="2"/>
        <charset val="186"/>
        <scheme val="minor"/>
      </rPr>
      <t xml:space="preserve">attributable to </t>
    </r>
    <r>
      <rPr>
        <b/>
        <sz val="10"/>
        <color theme="1"/>
        <rFont val="Calibri"/>
        <family val="2"/>
        <charset val="186"/>
        <scheme val="minor"/>
      </rPr>
      <t xml:space="preserve">short-term services </t>
    </r>
    <r>
      <rPr>
        <i/>
        <sz val="10"/>
        <color theme="1"/>
        <rFont val="Calibri"/>
        <family val="2"/>
        <charset val="186"/>
        <scheme val="minor"/>
      </rPr>
      <t>(from 2020 part of AR are not attributed to such services, as tariffs for yearly capacity products are calculated under total forecast of annualised capacity booking):</t>
    </r>
  </si>
  <si>
    <t>D</t>
  </si>
  <si>
    <t>WD</t>
  </si>
  <si>
    <t>For (LT) Domestic and Šakiai Exit points</t>
  </si>
  <si>
    <r>
      <rPr>
        <sz val="10"/>
        <color theme="1"/>
        <rFont val="Calibri"/>
        <family val="2"/>
        <charset val="186"/>
        <scheme val="minor"/>
      </rPr>
      <t>Tariffs for</t>
    </r>
    <r>
      <rPr>
        <b/>
        <sz val="10"/>
        <color theme="1"/>
        <rFont val="Calibri"/>
        <family val="2"/>
        <charset val="186"/>
        <scheme val="minor"/>
      </rPr>
      <t xml:space="preserve"> Daily capacity</t>
    </r>
  </si>
  <si>
    <r>
      <rPr>
        <sz val="10"/>
        <color theme="1"/>
        <rFont val="Calibri"/>
        <family val="2"/>
        <charset val="186"/>
        <scheme val="minor"/>
      </rPr>
      <t>Tariffs for</t>
    </r>
    <r>
      <rPr>
        <b/>
        <sz val="10"/>
        <color theme="1"/>
        <rFont val="Calibri"/>
        <family val="2"/>
        <charset val="186"/>
        <scheme val="minor"/>
      </rPr>
      <t xml:space="preserve"> Within-day capacity</t>
    </r>
  </si>
  <si>
    <t>(BY&gt;LT) Kotlovka Entry Point</t>
  </si>
  <si>
    <t>(LV&gt;LT) Kiemėnai Entry Point</t>
  </si>
  <si>
    <t>(LNGT&gt;LT) Klaipėda Entry Point</t>
  </si>
  <si>
    <t>(LT&gt;LV) Kiemėnai Exit Point</t>
  </si>
  <si>
    <t>(LT&gt;RU) Šakiai Exit Point</t>
  </si>
  <si>
    <t xml:space="preserve">(LT) Domestic Exit Point </t>
  </si>
  <si>
    <t>Calculations of seasonal factors (SFs) at (LT) Domestic Exit Point for 2020</t>
  </si>
  <si>
    <t>Calculations of seasonal factors (SFs) at (LT&gt;RU) Šakiai Exit Point for 2020</t>
  </si>
  <si>
    <t xml:space="preserve">(LT&gt;LV) Kiemėnai Exit Point </t>
  </si>
  <si>
    <t>Change in 2020 vs. 2019</t>
  </si>
  <si>
    <t xml:space="preserve"> EUR</t>
  </si>
  <si>
    <t xml:space="preserve"> %</t>
  </si>
  <si>
    <t xml:space="preserve">     thereof Regulatory account</t>
  </si>
  <si>
    <t xml:space="preserve">     thereof AR without evaluation of Regulatory account</t>
  </si>
  <si>
    <t>thereof for Primary network</t>
  </si>
  <si>
    <r>
      <t xml:space="preserve">Capacity/commodity split </t>
    </r>
    <r>
      <rPr>
        <i/>
        <sz val="9"/>
        <color theme="1"/>
        <rFont val="Calibri"/>
        <family val="2"/>
        <charset val="186"/>
        <scheme val="minor"/>
      </rPr>
      <t>(for 2019 - general, from 2020 - for Primary network only)</t>
    </r>
  </si>
  <si>
    <t>thereof for Secondary (Local) network</t>
  </si>
  <si>
    <r>
      <t>Allocation of Regulatory account for Primary and Secondary (Local) networks</t>
    </r>
    <r>
      <rPr>
        <sz val="10"/>
        <color theme="1"/>
        <rFont val="Calibri"/>
        <family val="2"/>
        <charset val="186"/>
        <scheme val="minor"/>
      </rPr>
      <t>:</t>
    </r>
  </si>
  <si>
    <r>
      <t>Allocation of AR by services after evaluation of Regulatory account</t>
    </r>
    <r>
      <rPr>
        <sz val="10"/>
        <color theme="1"/>
        <rFont val="Calibri"/>
        <family val="2"/>
        <charset val="186"/>
        <scheme val="minor"/>
      </rPr>
      <t>:</t>
    </r>
  </si>
  <si>
    <r>
      <t xml:space="preserve">     thereof allocated for </t>
    </r>
    <r>
      <rPr>
        <b/>
        <sz val="10"/>
        <color theme="1"/>
        <rFont val="Calibri"/>
        <family val="2"/>
        <charset val="186"/>
        <scheme val="minor"/>
      </rPr>
      <t>Secondary (Local) network</t>
    </r>
  </si>
  <si>
    <r>
      <t xml:space="preserve">     thereof allocated for </t>
    </r>
    <r>
      <rPr>
        <b/>
        <sz val="10"/>
        <color theme="1"/>
        <rFont val="Calibri"/>
        <family val="2"/>
        <charset val="186"/>
        <scheme val="minor"/>
      </rPr>
      <t>Secondary (Local)</t>
    </r>
    <r>
      <rPr>
        <sz val="10"/>
        <color theme="1"/>
        <rFont val="Calibri"/>
        <family val="2"/>
        <charset val="186"/>
        <scheme val="minor"/>
      </rPr>
      <t xml:space="preserve"> </t>
    </r>
    <r>
      <rPr>
        <b/>
        <sz val="10"/>
        <color theme="1"/>
        <rFont val="Calibri"/>
        <family val="2"/>
        <charset val="186"/>
        <scheme val="minor"/>
      </rPr>
      <t>network</t>
    </r>
  </si>
  <si>
    <t xml:space="preserve">   share of revenue for consumption capacity in revenue for Secondary network's services</t>
  </si>
  <si>
    <t>thereof allocated for gas transmission for EU needs via Primary network service</t>
  </si>
  <si>
    <t>thereof allocated for gas transmission for EU needs via Primary network service for capacity-based tariffs</t>
  </si>
  <si>
    <t>thereof allocated for gas transmission for EU needs via Primary network service for commodity-based tariffs</t>
  </si>
  <si>
    <t>thereof allocated for Primary network</t>
  </si>
  <si>
    <t>thereof allocated for Secondary (Local) network</t>
  </si>
  <si>
    <t>Tariff year 2020 vs. 2019</t>
  </si>
  <si>
    <r>
      <t>Allocation of AR by services before evaluation of Regulatory account</t>
    </r>
    <r>
      <rPr>
        <sz val="10"/>
        <color theme="1"/>
        <rFont val="Calibri"/>
        <family val="2"/>
        <charset val="186"/>
        <scheme val="minor"/>
      </rPr>
      <t>:</t>
    </r>
  </si>
  <si>
    <t>(LT) Domestic Exit Point: Consumption capacity for derivation of Secondary network's tariffs</t>
  </si>
  <si>
    <r>
      <t>Forecast of gas flows and consumption capacity</t>
    </r>
    <r>
      <rPr>
        <i/>
        <sz val="10"/>
        <color theme="1"/>
        <rFont val="Calibri"/>
        <family val="2"/>
        <charset val="186"/>
        <scheme val="minor"/>
      </rPr>
      <t xml:space="preserve"> (for derivation of commocity-based transmission (using Primary network services) tariffs and Secondary network's tariffs) </t>
    </r>
  </si>
  <si>
    <t>(LT) Domestic Exit Point: Quantity of gas transported for derivation of Secondary network's tariffs</t>
  </si>
  <si>
    <r>
      <t xml:space="preserve">Part of AR, </t>
    </r>
    <r>
      <rPr>
        <sz val="10"/>
        <color theme="1"/>
        <rFont val="Calibri"/>
        <family val="2"/>
        <charset val="238"/>
        <scheme val="minor"/>
      </rPr>
      <t xml:space="preserve">attributable to </t>
    </r>
    <r>
      <rPr>
        <b/>
        <sz val="10"/>
        <color theme="1"/>
        <rFont val="Calibri"/>
        <family val="2"/>
        <charset val="238"/>
        <scheme val="minor"/>
      </rPr>
      <t>Primary network's services (before evaluation of Regulatory account)</t>
    </r>
    <r>
      <rPr>
        <sz val="10"/>
        <color theme="1"/>
        <rFont val="Calibri"/>
        <family val="2"/>
        <charset val="238"/>
        <scheme val="minor"/>
      </rPr>
      <t>:</t>
    </r>
  </si>
  <si>
    <t>Flow-based tariffs:</t>
  </si>
  <si>
    <t>Tariffs for Consumption capacity at Domestic Exit Point:</t>
  </si>
  <si>
    <t>Primary network:</t>
  </si>
  <si>
    <t>CALCULATION OF FLOW-BASED TARIFFS' COMPONENTS FOR PRIMARY AND SECONDARY NETWORKS:</t>
  </si>
  <si>
    <r>
      <t>Flow-based tariff component for Group with annual Q &gt; 10.4 TWh</t>
    </r>
    <r>
      <rPr>
        <vertAlign val="superscript"/>
        <sz val="10"/>
        <color theme="1"/>
        <rFont val="Calibri"/>
        <family val="2"/>
        <charset val="186"/>
        <scheme val="minor"/>
      </rPr>
      <t>3</t>
    </r>
    <r>
      <rPr>
        <sz val="10"/>
        <color theme="1"/>
        <rFont val="Calibri"/>
        <family val="2"/>
        <charset val="186"/>
        <scheme val="minor"/>
      </rPr>
      <t/>
    </r>
  </si>
  <si>
    <r>
      <t>Flow-based tariff component for Group with annual Q ≤ 10.4 TWh</t>
    </r>
    <r>
      <rPr>
        <vertAlign val="superscript"/>
        <sz val="10"/>
        <color theme="1"/>
        <rFont val="Calibri"/>
        <family val="2"/>
        <charset val="186"/>
        <scheme val="minor"/>
      </rPr>
      <t xml:space="preserve">2 </t>
    </r>
  </si>
  <si>
    <r>
      <t>(LT) Domestic Exit Point for Group with annual Q ≤ 10.4 TWh</t>
    </r>
    <r>
      <rPr>
        <i/>
        <vertAlign val="superscript"/>
        <sz val="10"/>
        <color theme="1"/>
        <rFont val="Calibri"/>
        <family val="2"/>
        <charset val="186"/>
        <scheme val="minor"/>
      </rPr>
      <t>2</t>
    </r>
    <r>
      <rPr>
        <sz val="10"/>
        <color theme="1"/>
        <rFont val="Calibri"/>
        <family val="2"/>
        <charset val="186"/>
        <scheme val="minor"/>
      </rPr>
      <t xml:space="preserve"> </t>
    </r>
  </si>
  <si>
    <r>
      <t>(LT) Domestic Exit Point for Group with annual Q ≤ 10.4 TWh</t>
    </r>
    <r>
      <rPr>
        <vertAlign val="superscript"/>
        <sz val="10"/>
        <color theme="1"/>
        <rFont val="Calibri"/>
        <family val="2"/>
        <charset val="186"/>
        <scheme val="minor"/>
      </rPr>
      <t>3</t>
    </r>
  </si>
  <si>
    <r>
      <t>(LT) Domestic Exit Point for Group with annual Q ≤ 10.4 TWh</t>
    </r>
    <r>
      <rPr>
        <vertAlign val="superscript"/>
        <sz val="10"/>
        <color theme="1"/>
        <rFont val="Calibri"/>
        <family val="2"/>
        <charset val="186"/>
        <scheme val="minor"/>
      </rPr>
      <t xml:space="preserve">2 </t>
    </r>
  </si>
  <si>
    <r>
      <t>(LT) Domestic Exit Point for Group with annual Q &gt; 10.4 TWh</t>
    </r>
    <r>
      <rPr>
        <vertAlign val="superscript"/>
        <sz val="10"/>
        <color theme="1"/>
        <rFont val="Calibri"/>
        <family val="2"/>
        <charset val="186"/>
        <scheme val="minor"/>
      </rPr>
      <t>3</t>
    </r>
    <r>
      <rPr>
        <sz val="11"/>
        <color theme="1"/>
        <rFont val="Calibri"/>
        <family val="2"/>
        <charset val="186"/>
        <scheme val="minor"/>
      </rPr>
      <t/>
    </r>
  </si>
  <si>
    <t>Commodity-based tariff at all Exit points</t>
  </si>
  <si>
    <t xml:space="preserve">Must be filled only the orange cells </t>
  </si>
  <si>
    <t>(BY&gt;LT) Kotlovka Entry Point (restricted capacity product)</t>
  </si>
  <si>
    <t>(BY&gt;LT) Kotlovka Entry Point (restricted capacity)</t>
  </si>
  <si>
    <r>
      <t xml:space="preserve">LNG Entry </t>
    </r>
    <r>
      <rPr>
        <sz val="10"/>
        <color theme="1"/>
        <rFont val="Calibri"/>
        <family val="2"/>
        <charset val="186"/>
        <scheme val="minor"/>
      </rPr>
      <t xml:space="preserve">(Klaipėda) </t>
    </r>
    <r>
      <rPr>
        <b/>
        <sz val="10"/>
        <color theme="1"/>
        <rFont val="Calibri"/>
        <family val="2"/>
        <charset val="238"/>
        <scheme val="minor"/>
      </rPr>
      <t xml:space="preserve">point Discount </t>
    </r>
  </si>
  <si>
    <t>September, 2019</t>
  </si>
  <si>
    <t>Must be filled only the orange cells (grey cells: calculations or actual input and output data for 2019; brown cells: data from other Sheet)</t>
  </si>
  <si>
    <r>
      <t xml:space="preserve">     thereof allocated for </t>
    </r>
    <r>
      <rPr>
        <b/>
        <sz val="10"/>
        <color theme="1"/>
        <rFont val="Calibri"/>
        <family val="2"/>
        <charset val="186"/>
        <scheme val="minor"/>
      </rPr>
      <t xml:space="preserve">Primary network </t>
    </r>
    <r>
      <rPr>
        <i/>
        <sz val="10"/>
        <color theme="1"/>
        <rFont val="Calibri"/>
        <family val="2"/>
        <charset val="186"/>
        <scheme val="minor"/>
      </rPr>
      <t>(initial level for setting reference prices for transmission via Primary network services (for firm yearly capacity products))</t>
    </r>
  </si>
  <si>
    <r>
      <t>thereof allocated for transportation to 3</t>
    </r>
    <r>
      <rPr>
        <i/>
        <vertAlign val="superscript"/>
        <sz val="10"/>
        <color theme="1"/>
        <rFont val="Calibri"/>
        <family val="2"/>
        <charset val="186"/>
        <scheme val="minor"/>
      </rPr>
      <t xml:space="preserve">rd </t>
    </r>
    <r>
      <rPr>
        <i/>
        <sz val="10"/>
        <color theme="1"/>
        <rFont val="Calibri"/>
        <family val="2"/>
        <charset val="186"/>
        <scheme val="minor"/>
      </rPr>
      <t>country service</t>
    </r>
    <r>
      <rPr>
        <i/>
        <vertAlign val="superscript"/>
        <sz val="10"/>
        <color theme="1"/>
        <rFont val="Calibri"/>
        <family val="2"/>
        <charset val="186"/>
        <scheme val="minor"/>
      </rPr>
      <t xml:space="preserve"> </t>
    </r>
  </si>
  <si>
    <r>
      <t>thereof allocated for transportation to 3</t>
    </r>
    <r>
      <rPr>
        <i/>
        <vertAlign val="superscript"/>
        <sz val="10"/>
        <color theme="1"/>
        <rFont val="Calibri"/>
        <family val="2"/>
        <charset val="238"/>
        <scheme val="minor"/>
      </rPr>
      <t xml:space="preserve">rd </t>
    </r>
    <r>
      <rPr>
        <i/>
        <sz val="10"/>
        <color theme="1"/>
        <rFont val="Calibri"/>
        <family val="2"/>
        <charset val="238"/>
        <scheme val="minor"/>
      </rPr>
      <t>country service for capacity-based tariffs</t>
    </r>
  </si>
  <si>
    <r>
      <t>thereof allocated for transportation to 3</t>
    </r>
    <r>
      <rPr>
        <i/>
        <vertAlign val="superscript"/>
        <sz val="10"/>
        <color theme="1"/>
        <rFont val="Calibri"/>
        <family val="2"/>
        <charset val="238"/>
        <scheme val="minor"/>
      </rPr>
      <t xml:space="preserve">rd </t>
    </r>
    <r>
      <rPr>
        <i/>
        <sz val="10"/>
        <color theme="1"/>
        <rFont val="Calibri"/>
        <family val="2"/>
        <charset val="238"/>
        <scheme val="minor"/>
      </rPr>
      <t>country service for commodity-based tariffs</t>
    </r>
  </si>
  <si>
    <t>SFs for (LT&gt;RU) Šakiai Exit Point:</t>
  </si>
  <si>
    <r>
      <t xml:space="preserve">Step 6: 
Article 15(3)(g): </t>
    </r>
    <r>
      <rPr>
        <i/>
        <sz val="10"/>
        <color theme="1"/>
        <rFont val="Calibri"/>
        <family val="2"/>
        <charset val="186"/>
        <scheme val="minor"/>
      </rPr>
      <t xml:space="preserve">"g) the resulting value referred to in point (f) shall be compared with the range referred to in Article 13(1), as follows, 
              (i) if this value falls within this range then the level of seasonal factors shall be equal to with the respective resulting values referred to in point (e);
              (ii) if this value falls outside of this range then point (h) shall apply;"
</t>
    </r>
    <r>
      <rPr>
        <b/>
        <sz val="10"/>
        <color theme="1"/>
        <rFont val="Calibri"/>
        <family val="2"/>
        <charset val="186"/>
        <scheme val="minor"/>
      </rPr>
      <t xml:space="preserve">Article 13(1): </t>
    </r>
    <r>
      <rPr>
        <sz val="10"/>
        <color theme="1"/>
        <rFont val="Calibri"/>
        <family val="2"/>
        <charset val="186"/>
        <scheme val="minor"/>
      </rPr>
      <t>"</t>
    </r>
    <r>
      <rPr>
        <i/>
        <sz val="10"/>
        <color theme="1"/>
        <rFont val="Calibri"/>
        <family val="2"/>
        <charset val="186"/>
        <scheme val="minor"/>
      </rPr>
      <t xml:space="preserve">13&lt;..&gt;1. The level of multipliers shall fall within the following ranges: 
              (a) for quarterly standard capacity products and for monthly standard capacity products, the level of the respective multiplier shall be no less than 1 and no more than 1,5; 
              (b) for daily standard capacity products and for within-day standard capacity products, the level of the respective multiplier shall be no less than 1 and no more than 3. In duly justified cases, the  level of the respective multipliers may be less than 1, but higher than 0, or higher than 3.
</t>
    </r>
    <r>
      <rPr>
        <b/>
        <sz val="10"/>
        <color theme="1"/>
        <rFont val="Calibri"/>
        <family val="2"/>
        <charset val="186"/>
        <scheme val="minor"/>
      </rPr>
      <t>Article 15(3)(h):</t>
    </r>
    <r>
      <rPr>
        <i/>
        <sz val="10"/>
        <color theme="1"/>
        <rFont val="Calibri"/>
        <family val="2"/>
        <charset val="186"/>
        <scheme val="minor"/>
      </rPr>
      <t xml:space="preserve"> "h) the level of seasonal factors shall be calculated as the product of the respective resulting values referred to in point (e) and the correction factor calculated as follows:
               i) where the resulting value referred to in point (f) is more than 1,5, the correction factor shall be calculated as 1,5 divided by this value; 
               ii) where the resulting value referred to in point (f) is less than 1, the correction factor shall be calculated as 1 divided by this value."</t>
    </r>
  </si>
  <si>
    <r>
      <t xml:space="preserve">Step 7: 
Article 15(5): </t>
    </r>
    <r>
      <rPr>
        <i/>
        <sz val="10"/>
        <color theme="1"/>
        <rFont val="Calibri"/>
        <family val="2"/>
        <charset val="186"/>
        <scheme val="minor"/>
      </rPr>
      <t xml:space="preserve">"For quarterly standard capacity products for firm capacity, the seasonal factors shall be calculated in sequential steps as follows:
              (a) the initial level of the respective seasonal factors shall be calculated as either of the following: 
                      (i) equal to the arithmetic mean of the respective seasonal factors applicable for the three relevant months; 
                      (ii) no less than the lowest and no more than the highest level of the respective seasonal factors applicable for the three relevant months;
              (b) the steps set out in paragraph 3(f) to (h) shall be carried out, using the resulting values referred to in point (a), mutatis mutandis.“
</t>
    </r>
    <r>
      <rPr>
        <b/>
        <sz val="10"/>
        <color theme="1"/>
        <rFont val="Calibri"/>
        <family val="2"/>
        <charset val="186"/>
        <scheme val="minor"/>
      </rPr>
      <t/>
    </r>
  </si>
  <si>
    <r>
      <t xml:space="preserve">     thereof allocated for </t>
    </r>
    <r>
      <rPr>
        <b/>
        <sz val="10"/>
        <color theme="1"/>
        <rFont val="Calibri"/>
        <family val="2"/>
        <charset val="186"/>
        <scheme val="minor"/>
      </rPr>
      <t xml:space="preserve">Primary network </t>
    </r>
    <r>
      <rPr>
        <i/>
        <sz val="10"/>
        <color theme="1"/>
        <rFont val="Calibri"/>
        <family val="2"/>
        <charset val="186"/>
        <scheme val="minor"/>
      </rPr>
      <t>(level for setting reference prices for transmission via Primary network services (for firm yearly capacity products))</t>
    </r>
  </si>
  <si>
    <r>
      <t xml:space="preserve">Part of AR, </t>
    </r>
    <r>
      <rPr>
        <sz val="10"/>
        <color theme="1"/>
        <rFont val="Calibri"/>
        <family val="2"/>
        <charset val="186"/>
        <scheme val="minor"/>
      </rPr>
      <t xml:space="preserve">attributable to </t>
    </r>
    <r>
      <rPr>
        <b/>
        <sz val="10"/>
        <color theme="1"/>
        <rFont val="Calibri"/>
        <family val="2"/>
        <charset val="186"/>
        <scheme val="minor"/>
      </rPr>
      <t>calculation of reference prices for transmission via Primary network services (for firm yearly capacity), prices for long-term transmission via Secondary's network services and commodity tariffs</t>
    </r>
    <r>
      <rPr>
        <sz val="10"/>
        <color theme="1"/>
        <rFont val="Calibri"/>
        <family val="2"/>
        <charset val="186"/>
        <scheme val="minor"/>
      </rPr>
      <t>:</t>
    </r>
  </si>
  <si>
    <t xml:space="preserve">     thereof for transportation to Exit points, other than to Šakiai Exit Point</t>
  </si>
  <si>
    <t xml:space="preserve">     thereof for Klaipėda Entry Point</t>
  </si>
  <si>
    <t xml:space="preserve">     thereof for all Entry points excluding Klaipėda Entry Point</t>
  </si>
  <si>
    <t xml:space="preserve">Total of all Exit points </t>
  </si>
  <si>
    <t>All Exit points: total sum of Exit gas flows for derivation of commodity-based transmission tariff</t>
  </si>
  <si>
    <t xml:space="preserve">Reference prices (for firm yearly capacity products), flow-based tariffs and tariffs for consumption capacity </t>
  </si>
  <si>
    <t>Secondary (Local) network (at Domestic Exit Point):</t>
  </si>
  <si>
    <t>Tariff year 2021</t>
  </si>
  <si>
    <t>Tariff year 2022</t>
  </si>
  <si>
    <t>Tariff year 2023</t>
  </si>
  <si>
    <t>Change in 2021 vs. 2020</t>
  </si>
  <si>
    <t>Change in 2022 vs. 2021</t>
  </si>
  <si>
    <t>Change in 2023 vs. 2022</t>
  </si>
  <si>
    <t>As required per Articles 30(2)(a)(ii) and 30(2)(b) of TAR NC</t>
  </si>
  <si>
    <r>
      <t>Total of all Entry points for transportation to Exit points, other than to Šakiai Exit Point (</t>
    </r>
    <r>
      <rPr>
        <i/>
        <sz val="10"/>
        <color theme="1"/>
        <rFont val="Calibri"/>
        <family val="2"/>
        <charset val="186"/>
        <scheme val="minor"/>
      </rPr>
      <t>incl. flows related to GIPL, planned to be operational from 2022)</t>
    </r>
  </si>
  <si>
    <r>
      <t xml:space="preserve">(PL&gt;LT) GIPL Entry Point </t>
    </r>
    <r>
      <rPr>
        <i/>
        <sz val="10"/>
        <color theme="1"/>
        <rFont val="Calibri"/>
        <family val="2"/>
        <charset val="186"/>
        <scheme val="minor"/>
      </rPr>
      <t>(planned to be operational from 2022)</t>
    </r>
  </si>
  <si>
    <r>
      <t xml:space="preserve">(LT&gt;PL) GIPL Exit Point </t>
    </r>
    <r>
      <rPr>
        <i/>
        <sz val="10"/>
        <color theme="1"/>
        <rFont val="Calibri"/>
        <family val="2"/>
        <charset val="186"/>
        <scheme val="minor"/>
      </rPr>
      <t>(planned to be operational from 2022)</t>
    </r>
  </si>
  <si>
    <t>! Irrespectively from the input data, the Entry (%) share of initial Entry/Exit split for 2020-2023 (cells F51:I51 of this Sheet) must be adjusted in a level that reference price at Kotlovka Entry Point (for freely allocable capacity) (cells F96:I96 of this Sheet) would be equal to tariff foreseen to be applied in FINESTLAT (EUR 142.77)</t>
  </si>
  <si>
    <r>
      <t>For (LT&gt;LV) Kiemenai Exit</t>
    </r>
    <r>
      <rPr>
        <b/>
        <sz val="10"/>
        <color rgb="FFFF0000"/>
        <rFont val="Calibri"/>
        <family val="2"/>
        <charset val="186"/>
        <scheme val="minor"/>
      </rPr>
      <t xml:space="preserve"> </t>
    </r>
    <r>
      <rPr>
        <b/>
        <sz val="10"/>
        <color theme="1"/>
        <rFont val="Calibri"/>
        <family val="2"/>
        <charset val="186"/>
        <scheme val="minor"/>
      </rPr>
      <t>Point*</t>
    </r>
  </si>
  <si>
    <t>(LT) Domestic Exit Point**</t>
  </si>
  <si>
    <r>
      <t xml:space="preserve">(PL&gt;LT) GIPL Entry Point </t>
    </r>
    <r>
      <rPr>
        <i/>
        <sz val="10"/>
        <color theme="1"/>
        <rFont val="Calibri"/>
        <family val="2"/>
        <charset val="186"/>
        <scheme val="minor"/>
      </rPr>
      <t>(planned to be operational from 2022)*</t>
    </r>
  </si>
  <si>
    <r>
      <t xml:space="preserve">(LT&gt;PL) GIPL Exit Point </t>
    </r>
    <r>
      <rPr>
        <i/>
        <sz val="10"/>
        <color theme="1"/>
        <rFont val="Calibri"/>
        <family val="2"/>
        <charset val="186"/>
        <scheme val="minor"/>
      </rPr>
      <t>(planned to be operational from 2022)*</t>
    </r>
  </si>
  <si>
    <t>(LT&gt;PL) GIPL Exit Point (planned to be operational from 2022)</t>
  </si>
  <si>
    <t>Tariff year 2021 vs. 2020</t>
  </si>
  <si>
    <t>Tariff year 2022 vs. 2021</t>
  </si>
  <si>
    <t>Tariff year 2023 vs. 2022</t>
  </si>
  <si>
    <r>
      <t>for Group with annual Q ≤ 10.4 TWh</t>
    </r>
    <r>
      <rPr>
        <i/>
        <vertAlign val="superscript"/>
        <sz val="10"/>
        <color theme="0" tint="-0.499984740745262"/>
        <rFont val="Calibri"/>
        <family val="2"/>
        <charset val="186"/>
        <scheme val="minor"/>
      </rPr>
      <t>2</t>
    </r>
    <r>
      <rPr>
        <i/>
        <sz val="10"/>
        <color theme="0" tint="-0.499984740745262"/>
        <rFont val="Calibri"/>
        <family val="2"/>
        <charset val="186"/>
        <scheme val="minor"/>
      </rPr>
      <t xml:space="preserve"> **</t>
    </r>
  </si>
  <si>
    <r>
      <t>for Group with annual Q &gt; 10.4 TWh</t>
    </r>
    <r>
      <rPr>
        <i/>
        <vertAlign val="superscript"/>
        <sz val="10"/>
        <color theme="0" tint="-0.499984740745262"/>
        <rFont val="Calibri"/>
        <family val="2"/>
        <charset val="186"/>
        <scheme val="minor"/>
      </rPr>
      <t>3</t>
    </r>
    <r>
      <rPr>
        <i/>
        <sz val="10"/>
        <color theme="0" tint="-0.499984740745262"/>
        <rFont val="Calibri"/>
        <family val="2"/>
        <charset val="186"/>
        <scheme val="minor"/>
      </rPr>
      <t xml:space="preserve"> **</t>
    </r>
  </si>
  <si>
    <t>THE SIMPLIFIED TARIFF MODEL FOR CALCULATION OF 2020 TARIFFS AND FORECASTED INDICATIVE TARIFFS UNTIL THE END OF REGULATORY PERIOD (2019-2023)</t>
  </si>
  <si>
    <t>Calculations of reference prices and tariffs for transmission services (VAT excluded) for tariff years 2020-2023 (on using natural gas transmission network infrastructure of AB Amber Grid)</t>
  </si>
  <si>
    <t>Tariffs for short-term firm capacity products of transmission services:</t>
  </si>
  <si>
    <t>calculations of 2020 tariffs and forecasted indicative tariffs until the end of regulatory period (2019-2023)</t>
  </si>
  <si>
    <t xml:space="preserve">TRANSMISSION TARIFFS*: </t>
  </si>
  <si>
    <t>TARIFFS FOR FIRM NON-YEARLY CAPACITY PRODUCTS, EUR/MWh/day/period (per quarter/month/day/within-day)*:</t>
  </si>
  <si>
    <r>
      <rPr>
        <i/>
        <vertAlign val="superscript"/>
        <sz val="10"/>
        <color rgb="FF000000"/>
        <rFont val="Calibri"/>
        <family val="2"/>
        <charset val="186"/>
        <scheme val="minor"/>
      </rPr>
      <t xml:space="preserve">2 </t>
    </r>
    <r>
      <rPr>
        <i/>
        <sz val="10"/>
        <color rgb="FF000000"/>
        <rFont val="Calibri"/>
        <family val="2"/>
        <charset val="186"/>
        <scheme val="minor"/>
      </rPr>
      <t>For the group of network users with annual natural gas transmission through Lithuania’s Domestic Exit Point quantity (Q) of up to 10.4 terawatt-hours (TWh) (Q &lt;= 10.4 TWh) per one delivery point of natural gas.</t>
    </r>
  </si>
  <si>
    <r>
      <rPr>
        <i/>
        <vertAlign val="superscript"/>
        <sz val="10"/>
        <color rgb="FF000000"/>
        <rFont val="Calibri"/>
        <family val="2"/>
        <charset val="186"/>
        <scheme val="minor"/>
      </rPr>
      <t xml:space="preserve">3 </t>
    </r>
    <r>
      <rPr>
        <i/>
        <sz val="10"/>
        <color rgb="FF000000"/>
        <rFont val="Calibri"/>
        <family val="2"/>
        <charset val="186"/>
        <scheme val="minor"/>
      </rPr>
      <t>For the group of network users with annual natural gas transmission through Lithuania’s Domestic Exit Point quantity (Q) of over 10.4 terawatt-hours (TWh) (Q &gt; 10.4 TWh) per one delivery point of natural gas.</t>
    </r>
  </si>
  <si>
    <r>
      <t xml:space="preserve">   thereof allocated for Group of network users with annual Q &gt; 10.4 TWh</t>
    </r>
    <r>
      <rPr>
        <i/>
        <vertAlign val="superscript"/>
        <sz val="10"/>
        <color theme="1"/>
        <rFont val="Calibri"/>
        <family val="2"/>
        <charset val="186"/>
        <scheme val="minor"/>
      </rPr>
      <t>3</t>
    </r>
  </si>
  <si>
    <t>* There was made an assumption that at GIPL Exit point (to be operational from 2022) the same multipliers are applied (but it is only for calculation of forecasted indicative short-term capacity tariffs purposes, actual situation might be different, and decisions regarding tariffication at GIPL point will be made in the future based on actual circumstances).</t>
  </si>
  <si>
    <r>
      <rPr>
        <b/>
        <sz val="11"/>
        <color theme="1"/>
        <rFont val="Calibri"/>
        <family val="2"/>
        <charset val="186"/>
        <scheme val="minor"/>
      </rPr>
      <t>DISCLAIMER and EXPLANATIONS:</t>
    </r>
    <r>
      <rPr>
        <b/>
        <sz val="11"/>
        <color rgb="FFFF0000"/>
        <rFont val="Calibri"/>
        <family val="2"/>
        <charset val="186"/>
        <scheme val="minor"/>
      </rPr>
      <t xml:space="preserve">
</t>
    </r>
    <r>
      <rPr>
        <sz val="11"/>
        <color theme="1"/>
        <rFont val="Calibri"/>
        <family val="2"/>
        <charset val="186"/>
        <scheme val="minor"/>
      </rPr>
      <t>This Simplified Tariff Model (Model) of 2020 prices / tariffs and forecasted prices / tariffs of subsequent years is solely for information purposes only. Under no circumstances shall any stakeholder or other entity be entitled to assert any right, claim or other entitlement related to the Model against the LT NRA or LT TSO (or either their employees).</t>
    </r>
    <r>
      <rPr>
        <b/>
        <sz val="11"/>
        <color rgb="FFFF0000"/>
        <rFont val="Calibri"/>
        <family val="2"/>
        <charset val="186"/>
        <scheme val="minor"/>
      </rPr>
      <t xml:space="preserve"> </t>
    </r>
    <r>
      <rPr>
        <sz val="11"/>
        <color theme="1"/>
        <rFont val="Calibri"/>
        <family val="2"/>
        <charset val="186"/>
        <scheme val="minor"/>
      </rPr>
      <t xml:space="preserve">Model allows for estimation of preliminarily forecasted (indicative) transmission tariffs until the end of the current (2019-2023) regulatory period. 4 Sheets of this Model are for the following purposes:
 - this Sheet: for calculation of reference prices (for firm yearly capacity products), flow-based tariffs, tariffs for consumption capacity until 2023 (main input data must be entered in this Sheet);
- Sheet </t>
    </r>
    <r>
      <rPr>
        <i/>
        <sz val="11"/>
        <color theme="1"/>
        <rFont val="Calibri"/>
        <family val="2"/>
        <charset val="186"/>
        <scheme val="minor"/>
      </rPr>
      <t>Ms_SFs, Short-term tar. 2020-23</t>
    </r>
    <r>
      <rPr>
        <sz val="11"/>
        <color theme="1"/>
        <rFont val="Calibri"/>
        <family val="2"/>
        <charset val="186"/>
        <scheme val="minor"/>
      </rPr>
      <t>: for calculation of tariffs for firm short-term capacity products until 2023, including input data for Multipliers and Seasonal factors;
- the last two Sheets: for calculation of Seasonal factors at Domestic and Šakiai Exit Points for 2020.</t>
    </r>
  </si>
  <si>
    <t>* Tariffs for GIPL Entry / Exit Point (for 2022-2023) are very indicative, and decisions regarding tariffication at GIPL point will be made in the future based on actual circumstances. Regarding the tariffication for the other Entry and Exit points: for the following years the situation may also change, i.e. in order to comply fully with the provisions of TAR NC, also taking into account the integration processes of the regional natural gas market in the Eastern Baltic region (covering Lithuania, Latvia, Estonia and Finland), changes in the pricing structure for natural gas transportation services provided by AB Amber Grid are possible from 2021 and (/or) later.</t>
  </si>
  <si>
    <r>
      <t xml:space="preserve">Allowed revenue (AR) </t>
    </r>
    <r>
      <rPr>
        <i/>
        <sz val="9"/>
        <color theme="1"/>
        <rFont val="Calibri"/>
        <family val="2"/>
        <charset val="186"/>
        <scheme val="minor"/>
      </rPr>
      <t>(for 2019/2020: as assessed in calc. of 2019/2020 tariffs, for the following years - indicative)</t>
    </r>
    <r>
      <rPr>
        <sz val="10"/>
        <color theme="1"/>
        <rFont val="Calibri"/>
        <family val="2"/>
        <charset val="186"/>
        <scheme val="minor"/>
      </rPr>
      <t>:</t>
    </r>
  </si>
  <si>
    <r>
      <rPr>
        <i/>
        <vertAlign val="superscript"/>
        <sz val="10"/>
        <color theme="1"/>
        <rFont val="Calibri"/>
        <family val="2"/>
        <charset val="186"/>
        <scheme val="minor"/>
      </rPr>
      <t>1</t>
    </r>
    <r>
      <rPr>
        <i/>
        <sz val="10"/>
        <color theme="1"/>
        <rFont val="Calibri"/>
        <family val="2"/>
        <charset val="186"/>
        <scheme val="minor"/>
      </rPr>
      <t xml:space="preserve">For 2019: firm long-term (yearly) capacity booking; for 2020-2023: capacity bookings of all firm capacity products (including short-term products, which capacities are annualised). </t>
    </r>
  </si>
  <si>
    <t>** For 2019: 74.29 EUR is the average tariff for comparison (with the following tariff periods) purposes, while actually tariffs where differentiated for two groups of network users (&lt;= 10.4 TWh/year per one delivery point of natural gas (tariff: 101.60 EUR/MWh/day/year) and &gt; 10.4 TWh/year per one delivery point of natural gas (tariff: 47.29 EUR/MWh/day/year)) and also could cover not only Primary network's costs, but also Secondary (Local) network's costs. From 2020 capacity-based tariffs reflect only the part of allowed revenue related to Primary network's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</si>
</sst>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 _€_-;\-* #,##0.00\ _€_-;_-* &quot;-&quot;??\ _€_-;_-@_-"/>
    <numFmt numFmtId="164" formatCode="#,##0\ _z_ł"/>
    <numFmt numFmtId="165" formatCode="_-* #,##0\ _z_ł_-;\-* #,##0\ _z_ł_-;_-* &quot;-&quot;??\ _z_ł_-;_-@_-"/>
    <numFmt numFmtId="166" formatCode="_-* #,##0.0000\ _z_ł_-;\-* #,##0.0000\ _z_ł_-;_-* &quot;-&quot;??\ _z_ł_-;_-@_-"/>
    <numFmt numFmtId="167" formatCode="0.0%"/>
    <numFmt numFmtId="168" formatCode="#,##0.000"/>
    <numFmt numFmtId="169" formatCode="#,##0.0000"/>
    <numFmt numFmtId="170" formatCode="#,##0.00000000"/>
    <numFmt numFmtId="171" formatCode="0.000%"/>
    <numFmt numFmtId="172" formatCode="0.0000%"/>
    <numFmt numFmtId="173" formatCode="0.00000%"/>
    <numFmt numFmtId="174" formatCode="0.0000"/>
    <numFmt numFmtId="175" formatCode="#,##0.00\ _z_ł"/>
    <numFmt numFmtId="176" formatCode="#,##0.0"/>
    <numFmt numFmtId="177" formatCode="#,##0.00000000\ _z_ł"/>
    <numFmt numFmtId="178" formatCode="0.0"/>
    <numFmt numFmtId="179" formatCode="#,##0.000000"/>
    <numFmt numFmtId="180" formatCode="#,##0.0000000"/>
    <numFmt numFmtId="181" formatCode="0.0000000"/>
  </numFmts>
  <fonts count="58"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theme="1"/>
      <name val="Calibri"/>
      <family val="2"/>
      <charset val="238"/>
      <scheme val="minor"/>
    </font>
    <font>
      <b/>
      <sz val="12"/>
      <color theme="0"/>
      <name val="Calibri"/>
      <family val="2"/>
      <charset val="238"/>
      <scheme val="minor"/>
    </font>
    <font>
      <b/>
      <sz val="10"/>
      <color theme="1"/>
      <name val="Calibri"/>
      <family val="2"/>
      <charset val="238"/>
      <scheme val="minor"/>
    </font>
    <font>
      <sz val="10"/>
      <color theme="1"/>
      <name val="Calibri"/>
      <family val="2"/>
      <charset val="238"/>
      <scheme val="minor"/>
    </font>
    <font>
      <sz val="10"/>
      <name val="Arial"/>
      <family val="2"/>
      <charset val="238"/>
    </font>
    <font>
      <sz val="10"/>
      <color theme="1"/>
      <name val="Arial"/>
      <family val="2"/>
      <charset val="238"/>
    </font>
    <font>
      <sz val="10"/>
      <color theme="1"/>
      <name val="Calibri"/>
      <family val="2"/>
      <charset val="186"/>
    </font>
    <font>
      <sz val="12"/>
      <color theme="1"/>
      <name val="Calibri"/>
      <family val="2"/>
      <charset val="186"/>
    </font>
    <font>
      <sz val="10"/>
      <color theme="1"/>
      <name val="Calibri"/>
      <family val="2"/>
      <charset val="186"/>
      <scheme val="minor"/>
    </font>
    <font>
      <i/>
      <sz val="10"/>
      <color theme="1"/>
      <name val="Calibri"/>
      <family val="2"/>
      <charset val="186"/>
      <scheme val="minor"/>
    </font>
    <font>
      <b/>
      <sz val="18"/>
      <color theme="1"/>
      <name val="Calibri"/>
      <family val="2"/>
      <charset val="186"/>
    </font>
    <font>
      <b/>
      <sz val="10"/>
      <color theme="1"/>
      <name val="Calibri"/>
      <family val="2"/>
      <charset val="186"/>
      <scheme val="minor"/>
    </font>
    <font>
      <sz val="9"/>
      <color theme="1"/>
      <name val="Calibri"/>
      <family val="2"/>
      <charset val="186"/>
      <scheme val="minor"/>
    </font>
    <font>
      <i/>
      <sz val="9"/>
      <color theme="1"/>
      <name val="Calibri"/>
      <family val="2"/>
      <charset val="186"/>
      <scheme val="minor"/>
    </font>
    <font>
      <vertAlign val="superscript"/>
      <sz val="10"/>
      <color theme="1"/>
      <name val="Calibri"/>
      <family val="2"/>
      <charset val="186"/>
      <scheme val="minor"/>
    </font>
    <font>
      <i/>
      <vertAlign val="superscript"/>
      <sz val="10"/>
      <color theme="1"/>
      <name val="Calibri"/>
      <family val="2"/>
      <charset val="186"/>
      <scheme val="minor"/>
    </font>
    <font>
      <i/>
      <sz val="10"/>
      <color theme="9" tint="-0.249977111117893"/>
      <name val="Calibri"/>
      <family val="2"/>
      <charset val="186"/>
      <scheme val="minor"/>
    </font>
    <font>
      <b/>
      <vertAlign val="superscript"/>
      <sz val="10"/>
      <color theme="1"/>
      <name val="Calibri"/>
      <family val="2"/>
      <charset val="186"/>
      <scheme val="minor"/>
    </font>
    <font>
      <sz val="10"/>
      <color rgb="FFFF0000"/>
      <name val="Calibri"/>
      <family val="2"/>
      <scheme val="minor"/>
    </font>
    <font>
      <i/>
      <sz val="10"/>
      <color rgb="FF0070C0"/>
      <name val="Calibri"/>
      <family val="2"/>
      <charset val="186"/>
      <scheme val="minor"/>
    </font>
    <font>
      <sz val="9"/>
      <color theme="2" tint="-0.499984740745262"/>
      <name val="Calibri"/>
      <family val="2"/>
      <charset val="186"/>
      <scheme val="minor"/>
    </font>
    <font>
      <sz val="9"/>
      <color theme="2" tint="-0.499984740745262"/>
      <name val="Calibri"/>
      <family val="2"/>
      <charset val="238"/>
      <scheme val="minor"/>
    </font>
    <font>
      <b/>
      <sz val="11"/>
      <color rgb="FFFF0000"/>
      <name val="Calibri"/>
      <family val="2"/>
      <charset val="186"/>
      <scheme val="minor"/>
    </font>
    <font>
      <i/>
      <sz val="10"/>
      <color rgb="FFFF0000"/>
      <name val="Calibri"/>
      <family val="2"/>
      <charset val="186"/>
      <scheme val="minor"/>
    </font>
    <font>
      <b/>
      <sz val="10"/>
      <color rgb="FFFF0000"/>
      <name val="Calibri"/>
      <family val="2"/>
      <charset val="186"/>
      <scheme val="minor"/>
    </font>
    <font>
      <sz val="11"/>
      <color rgb="FFFF0000"/>
      <name val="Calibri"/>
      <family val="2"/>
      <scheme val="minor"/>
    </font>
    <font>
      <i/>
      <sz val="10"/>
      <color rgb="FF36609A"/>
      <name val="Calibri"/>
      <family val="2"/>
      <charset val="186"/>
      <scheme val="minor"/>
    </font>
    <font>
      <b/>
      <i/>
      <sz val="10"/>
      <color rgb="FF0070C0"/>
      <name val="Calibri"/>
      <family val="2"/>
      <charset val="186"/>
      <scheme val="minor"/>
    </font>
    <font>
      <sz val="10"/>
      <name val="Arial"/>
      <family val="2"/>
      <charset val="186"/>
    </font>
    <font>
      <i/>
      <sz val="11"/>
      <color theme="1"/>
      <name val="Calibri"/>
      <family val="2"/>
      <charset val="186"/>
      <scheme val="minor"/>
    </font>
    <font>
      <i/>
      <sz val="10"/>
      <color theme="0" tint="-0.499984740745262"/>
      <name val="Calibri"/>
      <family val="2"/>
      <charset val="186"/>
      <scheme val="minor"/>
    </font>
    <font>
      <i/>
      <vertAlign val="superscript"/>
      <sz val="10"/>
      <color theme="0" tint="-0.499984740745262"/>
      <name val="Calibri"/>
      <family val="2"/>
      <charset val="186"/>
      <scheme val="minor"/>
    </font>
    <font>
      <b/>
      <i/>
      <sz val="10"/>
      <color theme="0" tint="-0.499984740745262"/>
      <name val="Calibri"/>
      <family val="2"/>
      <charset val="186"/>
      <scheme val="minor"/>
    </font>
    <font>
      <i/>
      <sz val="10"/>
      <color theme="1"/>
      <name val="Calibri"/>
      <family val="2"/>
      <charset val="238"/>
      <scheme val="minor"/>
    </font>
    <font>
      <i/>
      <vertAlign val="superscript"/>
      <sz val="10"/>
      <color theme="1"/>
      <name val="Calibri"/>
      <family val="2"/>
      <charset val="238"/>
      <scheme val="minor"/>
    </font>
    <font>
      <i/>
      <sz val="10"/>
      <color rgb="FF000000"/>
      <name val="Calibri"/>
      <family val="2"/>
      <charset val="186"/>
      <scheme val="minor"/>
    </font>
    <font>
      <i/>
      <vertAlign val="superscript"/>
      <sz val="10"/>
      <color rgb="FF000000"/>
      <name val="Calibri"/>
      <family val="2"/>
      <charset val="186"/>
      <scheme val="minor"/>
    </font>
    <font>
      <i/>
      <sz val="11"/>
      <color theme="0" tint="-0.34998626667073579"/>
      <name val="Calibri"/>
      <family val="2"/>
      <charset val="186"/>
      <scheme val="minor"/>
    </font>
    <font>
      <i/>
      <sz val="10"/>
      <color theme="0" tint="-0.34998626667073579"/>
      <name val="Calibri"/>
      <family val="2"/>
      <charset val="186"/>
      <scheme val="minor"/>
    </font>
    <font>
      <sz val="10"/>
      <color theme="0" tint="-0.34998626667073579"/>
      <name val="Calibri"/>
      <family val="2"/>
      <charset val="186"/>
      <scheme val="minor"/>
    </font>
    <font>
      <i/>
      <sz val="9"/>
      <color theme="0" tint="-0.499984740745262"/>
      <name val="Calibri"/>
      <family val="2"/>
      <charset val="186"/>
      <scheme val="minor"/>
    </font>
    <font>
      <b/>
      <sz val="11"/>
      <color theme="1"/>
      <name val="Calibri"/>
      <family val="2"/>
      <charset val="186"/>
      <scheme val="minor"/>
    </font>
    <font>
      <b/>
      <sz val="18"/>
      <color theme="1"/>
      <name val="Calibri"/>
      <family val="2"/>
      <charset val="186"/>
      <scheme val="minor"/>
    </font>
    <font>
      <sz val="10"/>
      <color rgb="FFFF0000"/>
      <name val="Calibri"/>
      <family val="2"/>
      <charset val="186"/>
      <scheme val="minor"/>
    </font>
    <font>
      <sz val="12"/>
      <color theme="1"/>
      <name val="Calibri"/>
      <family val="2"/>
      <charset val="186"/>
      <scheme val="minor"/>
    </font>
    <font>
      <sz val="11"/>
      <color rgb="FFFF0000"/>
      <name val="Calibri"/>
      <family val="2"/>
      <charset val="186"/>
      <scheme val="minor"/>
    </font>
    <font>
      <sz val="10"/>
      <color theme="0" tint="-0.499984740745262"/>
      <name val="Calibri"/>
      <family val="2"/>
      <charset val="186"/>
      <scheme val="minor"/>
    </font>
    <font>
      <i/>
      <sz val="11"/>
      <color rgb="FFFF0000"/>
      <name val="Calibri"/>
      <family val="2"/>
      <charset val="186"/>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9" tint="-0.249977111117893"/>
      </left>
      <right/>
      <top style="medium">
        <color theme="9" tint="-0.249977111117893"/>
      </top>
      <bottom/>
      <diagonal/>
    </border>
    <border>
      <left/>
      <right/>
      <top style="medium">
        <color theme="9" tint="-0.249977111117893"/>
      </top>
      <bottom/>
      <diagonal/>
    </border>
    <border>
      <left style="medium">
        <color theme="9" tint="-0.249977111117893"/>
      </left>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style="thin">
        <color indexed="64"/>
      </left>
      <right/>
      <top/>
      <bottom style="thin">
        <color indexed="64"/>
      </bottom>
      <diagonal/>
    </border>
    <border>
      <left style="medium">
        <color rgb="FFF5862B"/>
      </left>
      <right/>
      <top/>
      <bottom/>
      <diagonal/>
    </border>
    <border>
      <left/>
      <right style="medium">
        <color rgb="FFF5862B"/>
      </right>
      <top style="thin">
        <color indexed="64"/>
      </top>
      <bottom style="thin">
        <color indexed="64"/>
      </bottom>
      <diagonal/>
    </border>
    <border>
      <left style="thin">
        <color indexed="64"/>
      </left>
      <right style="medium">
        <color rgb="FFF5862B"/>
      </right>
      <top style="thin">
        <color indexed="64"/>
      </top>
      <bottom style="thin">
        <color indexed="64"/>
      </bottom>
      <diagonal/>
    </border>
    <border>
      <left style="thin">
        <color indexed="64"/>
      </left>
      <right style="thin">
        <color indexed="64"/>
      </right>
      <top style="thin">
        <color indexed="64"/>
      </top>
      <bottom style="medium">
        <color rgb="FFF5862B"/>
      </bottom>
      <diagonal/>
    </border>
    <border>
      <left style="thin">
        <color indexed="64"/>
      </left>
      <right style="medium">
        <color rgb="FFF5862B"/>
      </right>
      <top style="thin">
        <color indexed="64"/>
      </top>
      <bottom style="medium">
        <color rgb="FFF5862B"/>
      </bottom>
      <diagonal/>
    </border>
    <border>
      <left style="thin">
        <color indexed="64"/>
      </left>
      <right/>
      <top/>
      <bottom/>
      <diagonal/>
    </border>
    <border>
      <left style="thin">
        <color indexed="64"/>
      </left>
      <right style="thin">
        <color indexed="64"/>
      </right>
      <top style="thin">
        <color indexed="64"/>
      </top>
      <bottom style="medium">
        <color theme="9" tint="-0.249977111117893"/>
      </bottom>
      <diagonal/>
    </border>
    <border>
      <left style="thin">
        <color indexed="64"/>
      </left>
      <right style="medium">
        <color theme="9" tint="-0.249977111117893"/>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rgb="FFF5862B"/>
      </left>
      <right/>
      <top/>
      <bottom style="medium">
        <color rgb="FFF5862B"/>
      </bottom>
      <diagonal/>
    </border>
    <border>
      <left style="medium">
        <color theme="9" tint="-0.249977111117893"/>
      </left>
      <right style="thin">
        <color indexed="64"/>
      </right>
      <top style="thin">
        <color indexed="64"/>
      </top>
      <bottom style="thin">
        <color indexed="64"/>
      </bottom>
      <diagonal/>
    </border>
    <border>
      <left style="thin">
        <color indexed="64"/>
      </left>
      <right style="medium">
        <color theme="9" tint="-0.249977111117893"/>
      </right>
      <top style="thin">
        <color indexed="64"/>
      </top>
      <bottom style="medium">
        <color rgb="FFF5862B"/>
      </bottom>
      <diagonal/>
    </border>
    <border>
      <left style="medium">
        <color theme="9" tint="-0.249977111117893"/>
      </left>
      <right style="thin">
        <color indexed="64"/>
      </right>
      <top style="thin">
        <color indexed="64"/>
      </top>
      <bottom style="medium">
        <color rgb="FFF5862B"/>
      </bottom>
      <diagonal/>
    </border>
    <border>
      <left style="thin">
        <color indexed="64"/>
      </left>
      <right/>
      <top style="thin">
        <color indexed="64"/>
      </top>
      <bottom style="medium">
        <color rgb="FFF5862B"/>
      </bottom>
      <diagonal/>
    </border>
    <border>
      <left/>
      <right style="thin">
        <color indexed="64"/>
      </right>
      <top/>
      <bottom/>
      <diagonal/>
    </border>
    <border>
      <left/>
      <right style="thin">
        <color indexed="64"/>
      </right>
      <top/>
      <bottom style="medium">
        <color theme="9" tint="-0.249977111117893"/>
      </bottom>
      <diagonal/>
    </border>
    <border>
      <left/>
      <right style="medium">
        <color theme="9" tint="-0.249977111117893"/>
      </right>
      <top style="thin">
        <color indexed="64"/>
      </top>
      <bottom style="thin">
        <color indexed="64"/>
      </bottom>
      <diagonal/>
    </border>
    <border>
      <left style="thin">
        <color indexed="64"/>
      </left>
      <right style="medium">
        <color theme="9" tint="-0.249977111117893"/>
      </right>
      <top style="thin">
        <color indexed="64"/>
      </top>
      <bottom/>
      <diagonal/>
    </border>
    <border>
      <left/>
      <right style="thin">
        <color indexed="64"/>
      </right>
      <top style="thin">
        <color indexed="64"/>
      </top>
      <bottom style="medium">
        <color rgb="FFF5862B"/>
      </bottom>
      <diagonal/>
    </border>
    <border>
      <left style="thin">
        <color indexed="64"/>
      </left>
      <right style="medium">
        <color theme="9" tint="-0.249977111117893"/>
      </right>
      <top/>
      <bottom/>
      <diagonal/>
    </border>
    <border>
      <left style="thin">
        <color indexed="64"/>
      </left>
      <right style="medium">
        <color theme="9" tint="-0.249977111117893"/>
      </right>
      <top/>
      <bottom style="thin">
        <color indexed="64"/>
      </bottom>
      <diagonal/>
    </border>
    <border>
      <left style="medium">
        <color rgb="FFF5862B"/>
      </left>
      <right style="thin">
        <color indexed="64"/>
      </right>
      <top/>
      <bottom style="medium">
        <color theme="9" tint="-0.249977111117893"/>
      </bottom>
      <diagonal/>
    </border>
    <border>
      <left style="thin">
        <color indexed="64"/>
      </left>
      <right/>
      <top style="thin">
        <color indexed="64"/>
      </top>
      <bottom style="medium">
        <color theme="9" tint="-0.249977111117893"/>
      </bottom>
      <diagonal/>
    </border>
    <border>
      <left/>
      <right style="thin">
        <color indexed="64"/>
      </right>
      <top style="medium">
        <color theme="9" tint="-0.249977111117893"/>
      </top>
      <bottom/>
      <diagonal/>
    </border>
    <border>
      <left/>
      <right style="thin">
        <color indexed="64"/>
      </right>
      <top style="thin">
        <color indexed="64"/>
      </top>
      <bottom/>
      <diagonal/>
    </border>
    <border>
      <left/>
      <right style="medium">
        <color theme="9" tint="-0.249977111117893"/>
      </right>
      <top/>
      <bottom/>
      <diagonal/>
    </border>
    <border>
      <left style="thin">
        <color indexed="64"/>
      </left>
      <right style="medium">
        <color theme="9" tint="-0.249977111117893"/>
      </right>
      <top style="thin">
        <color indexed="64"/>
      </top>
      <bottom style="medium">
        <color theme="9" tint="-0.249977111117893"/>
      </bottom>
      <diagonal/>
    </border>
    <border>
      <left/>
      <right style="medium">
        <color theme="9" tint="-0.249977111117893"/>
      </right>
      <top style="medium">
        <color theme="9" tint="-0.249977111117893"/>
      </top>
      <bottom/>
      <diagonal/>
    </border>
    <border>
      <left style="thin">
        <color indexed="64"/>
      </left>
      <right style="thin">
        <color indexed="64"/>
      </right>
      <top style="thin">
        <color indexed="64"/>
      </top>
      <bottom/>
      <diagonal/>
    </border>
    <border>
      <left style="thin">
        <color indexed="64"/>
      </left>
      <right/>
      <top style="medium">
        <color theme="9" tint="-0.249977111117893"/>
      </top>
      <bottom/>
      <diagonal/>
    </border>
    <border>
      <left/>
      <right style="thin">
        <color indexed="64"/>
      </right>
      <top/>
      <bottom style="thin">
        <color indexed="64"/>
      </bottom>
      <diagonal/>
    </border>
    <border>
      <left/>
      <right style="medium">
        <color theme="9" tint="-0.249977111117893"/>
      </right>
      <top/>
      <bottom style="thin">
        <color indexed="64"/>
      </bottom>
      <diagonal/>
    </border>
    <border>
      <left/>
      <right style="medium">
        <color theme="9" tint="-0.249977111117893"/>
      </right>
      <top style="thin">
        <color indexed="64"/>
      </top>
      <bottom/>
      <diagonal/>
    </border>
    <border>
      <left/>
      <right/>
      <top style="thin">
        <color indexed="64"/>
      </top>
      <bottom style="medium">
        <color rgb="FFF5862B"/>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9" tint="-0.249977111117893"/>
      </bottom>
      <diagonal/>
    </border>
    <border>
      <left/>
      <right style="medium">
        <color theme="9" tint="-0.249977111117893"/>
      </right>
      <top style="thin">
        <color indexed="64"/>
      </top>
      <bottom style="medium">
        <color theme="9" tint="-0.249977111117893"/>
      </bottom>
      <diagonal/>
    </border>
    <border>
      <left style="medium">
        <color theme="9" tint="-0.249977111117893"/>
      </left>
      <right/>
      <top style="medium">
        <color rgb="FFF5862B"/>
      </top>
      <bottom style="thin">
        <color indexed="64"/>
      </bottom>
      <diagonal/>
    </border>
    <border>
      <left/>
      <right/>
      <top style="medium">
        <color rgb="FFF5862B"/>
      </top>
      <bottom style="thin">
        <color indexed="64"/>
      </bottom>
      <diagonal/>
    </border>
    <border>
      <left style="medium">
        <color theme="9" tint="-0.249977111117893"/>
      </left>
      <right/>
      <top/>
      <bottom style="thin">
        <color indexed="64"/>
      </bottom>
      <diagonal/>
    </border>
  </borders>
  <cellStyleXfs count="14">
    <xf numFmtId="0" fontId="0" fillId="0" borderId="0"/>
    <xf numFmtId="43" fontId="9" fillId="0" borderId="0" applyFont="0" applyFill="0" applyBorder="0" applyAlignment="0" applyProtection="0"/>
    <xf numFmtId="9" fontId="9" fillId="0" borderId="0" applyFont="0" applyFill="0" applyBorder="0" applyAlignment="0" applyProtection="0"/>
    <xf numFmtId="0" fontId="14" fillId="0" borderId="0"/>
    <xf numFmtId="0" fontId="15" fillId="0" borderId="0"/>
    <xf numFmtId="0" fontId="8" fillId="0" borderId="0"/>
    <xf numFmtId="0" fontId="7" fillId="0" borderId="0"/>
    <xf numFmtId="9" fontId="7" fillId="0" borderId="0" applyFont="0" applyFill="0" applyBorder="0" applyAlignment="0" applyProtection="0"/>
    <xf numFmtId="0" fontId="38" fillId="0" borderId="0"/>
    <xf numFmtId="0" fontId="38" fillId="0" borderId="0"/>
    <xf numFmtId="0" fontId="6" fillId="0" borderId="0"/>
    <xf numFmtId="0" fontId="5" fillId="0" borderId="0"/>
    <xf numFmtId="0" fontId="4" fillId="0" borderId="0"/>
    <xf numFmtId="0" fontId="3" fillId="0" borderId="0"/>
  </cellStyleXfs>
  <cellXfs count="422">
    <xf numFmtId="0" fontId="0" fillId="0" borderId="0" xfId="0"/>
    <xf numFmtId="0" fontId="10" fillId="0" borderId="0" xfId="0" applyFont="1" applyBorder="1" applyAlignment="1" applyProtection="1">
      <alignment horizontal="center"/>
    </xf>
    <xf numFmtId="0" fontId="10" fillId="0" borderId="0" xfId="0" applyFont="1" applyBorder="1" applyProtection="1"/>
    <xf numFmtId="0" fontId="10" fillId="0" borderId="0" xfId="0" applyFont="1" applyFill="1" applyBorder="1" applyProtection="1"/>
    <xf numFmtId="0" fontId="16" fillId="4" borderId="0" xfId="4" applyFont="1" applyFill="1"/>
    <xf numFmtId="164" fontId="11" fillId="5" borderId="0" xfId="0" applyNumberFormat="1" applyFont="1" applyFill="1" applyBorder="1" applyAlignment="1" applyProtection="1">
      <alignment horizontal="center" vertical="center"/>
    </xf>
    <xf numFmtId="3" fontId="13" fillId="3" borderId="1" xfId="2" applyNumberFormat="1" applyFont="1" applyFill="1" applyBorder="1" applyAlignment="1" applyProtection="1">
      <alignment horizontal="right" vertical="center"/>
    </xf>
    <xf numFmtId="0" fontId="19" fillId="3" borderId="0" xfId="0" applyFont="1" applyFill="1" applyBorder="1" applyAlignment="1" applyProtection="1">
      <alignment horizontal="right" vertical="center" wrapText="1"/>
    </xf>
    <xf numFmtId="3" fontId="0" fillId="0" borderId="0" xfId="0" applyNumberFormat="1"/>
    <xf numFmtId="3" fontId="13" fillId="4" borderId="0" xfId="2" applyNumberFormat="1" applyFont="1" applyFill="1" applyBorder="1" applyAlignment="1" applyProtection="1">
      <alignment horizontal="right" vertical="center"/>
    </xf>
    <xf numFmtId="0" fontId="26" fillId="0" borderId="0" xfId="0" applyFont="1" applyBorder="1" applyProtection="1"/>
    <xf numFmtId="3" fontId="19" fillId="3" borderId="1" xfId="2" applyNumberFormat="1" applyFont="1" applyFill="1" applyBorder="1" applyAlignment="1" applyProtection="1">
      <alignment horizontal="right" vertical="center"/>
    </xf>
    <xf numFmtId="0" fontId="18" fillId="2" borderId="0"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9" fillId="3" borderId="0"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2" fillId="4" borderId="0" xfId="0" applyFont="1" applyFill="1" applyBorder="1" applyAlignment="1" applyProtection="1">
      <alignment horizontal="left" vertical="center" wrapText="1"/>
    </xf>
    <xf numFmtId="0" fontId="17" fillId="4" borderId="0" xfId="3" applyFont="1" applyFill="1" applyAlignment="1">
      <alignment vertical="center"/>
    </xf>
    <xf numFmtId="0" fontId="16" fillId="4" borderId="0" xfId="3" applyFont="1" applyFill="1" applyAlignment="1"/>
    <xf numFmtId="0" fontId="19" fillId="4" borderId="0" xfId="0" applyFont="1" applyFill="1" applyBorder="1" applyAlignment="1" applyProtection="1">
      <alignment horizontal="center" vertical="center"/>
    </xf>
    <xf numFmtId="0" fontId="18" fillId="3" borderId="0" xfId="0" applyFont="1" applyFill="1" applyBorder="1" applyAlignment="1" applyProtection="1">
      <alignment horizontal="left" vertical="center" wrapText="1"/>
    </xf>
    <xf numFmtId="3" fontId="16" fillId="0" borderId="0" xfId="4" applyNumberFormat="1" applyFont="1" applyFill="1" applyBorder="1"/>
    <xf numFmtId="0" fontId="0" fillId="0" borderId="0" xfId="0" applyAlignment="1">
      <alignment vertical="center"/>
    </xf>
    <xf numFmtId="164" fontId="12" fillId="2" borderId="0" xfId="0" applyNumberFormat="1" applyFont="1" applyFill="1" applyBorder="1" applyAlignment="1" applyProtection="1">
      <alignment horizontal="right" vertical="center"/>
    </xf>
    <xf numFmtId="165" fontId="13" fillId="0" borderId="0" xfId="1" applyNumberFormat="1" applyFont="1" applyFill="1" applyBorder="1" applyAlignment="1" applyProtection="1">
      <alignment vertical="center"/>
    </xf>
    <xf numFmtId="169" fontId="28" fillId="0" borderId="0" xfId="0" applyNumberFormat="1" applyFont="1"/>
    <xf numFmtId="0" fontId="12" fillId="2" borderId="0" xfId="0" applyFont="1" applyFill="1" applyBorder="1" applyAlignment="1" applyProtection="1">
      <alignment vertical="center"/>
    </xf>
    <xf numFmtId="0" fontId="18" fillId="3" borderId="0" xfId="0" applyFont="1" applyFill="1" applyBorder="1" applyAlignment="1" applyProtection="1">
      <alignment vertical="center"/>
    </xf>
    <xf numFmtId="0" fontId="18" fillId="4" borderId="0"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0" fontId="19" fillId="3" borderId="0" xfId="0" applyFont="1" applyFill="1" applyBorder="1" applyAlignment="1" applyProtection="1">
      <alignment horizontal="left" vertical="center"/>
    </xf>
    <xf numFmtId="3" fontId="30" fillId="0" borderId="0" xfId="0" applyNumberFormat="1" applyFont="1" applyFill="1" applyBorder="1" applyProtection="1"/>
    <xf numFmtId="0" fontId="31" fillId="0" borderId="0" xfId="0" applyFont="1" applyBorder="1" applyAlignment="1" applyProtection="1">
      <alignment horizontal="center"/>
    </xf>
    <xf numFmtId="164" fontId="13" fillId="0" borderId="0" xfId="0" applyNumberFormat="1" applyFont="1" applyFill="1" applyBorder="1" applyAlignment="1" applyProtection="1">
      <alignment horizontal="right" vertical="center"/>
    </xf>
    <xf numFmtId="164" fontId="13" fillId="4" borderId="0" xfId="0" applyNumberFormat="1" applyFont="1" applyFill="1" applyBorder="1" applyAlignment="1" applyProtection="1">
      <alignment horizontal="right" vertical="center"/>
    </xf>
    <xf numFmtId="164" fontId="18" fillId="0" borderId="0" xfId="0" applyNumberFormat="1" applyFont="1" applyFill="1" applyBorder="1" applyAlignment="1" applyProtection="1">
      <alignment horizontal="right" vertical="center"/>
    </xf>
    <xf numFmtId="0" fontId="19" fillId="4" borderId="0" xfId="0" applyFont="1" applyFill="1" applyBorder="1" applyAlignment="1" applyProtection="1">
      <alignment horizontal="right" vertical="center"/>
    </xf>
    <xf numFmtId="164" fontId="19" fillId="4" borderId="0" xfId="0" applyNumberFormat="1" applyFont="1" applyFill="1" applyBorder="1" applyAlignment="1" applyProtection="1">
      <alignment horizontal="right" vertical="center"/>
    </xf>
    <xf numFmtId="0" fontId="12" fillId="0" borderId="0" xfId="0" applyFont="1" applyFill="1" applyBorder="1" applyAlignment="1" applyProtection="1">
      <alignment vertical="center"/>
    </xf>
    <xf numFmtId="164" fontId="12" fillId="0" borderId="0" xfId="0" applyNumberFormat="1" applyFont="1" applyFill="1" applyBorder="1" applyAlignment="1" applyProtection="1">
      <alignment horizontal="right" vertical="center"/>
    </xf>
    <xf numFmtId="0" fontId="13" fillId="3" borderId="0" xfId="0" applyFont="1" applyFill="1" applyBorder="1" applyAlignment="1" applyProtection="1">
      <alignment vertical="center"/>
    </xf>
    <xf numFmtId="9" fontId="13" fillId="0" borderId="0" xfId="2" applyFont="1" applyFill="1" applyBorder="1" applyAlignment="1" applyProtection="1">
      <alignment vertical="center"/>
    </xf>
    <xf numFmtId="0" fontId="13" fillId="4" borderId="0" xfId="0" applyFont="1" applyFill="1" applyBorder="1" applyAlignment="1" applyProtection="1">
      <alignment vertical="center"/>
    </xf>
    <xf numFmtId="9" fontId="13" fillId="4" borderId="0" xfId="2" applyFont="1" applyFill="1" applyBorder="1" applyAlignment="1" applyProtection="1">
      <alignment vertical="center"/>
    </xf>
    <xf numFmtId="9" fontId="12" fillId="0" borderId="0" xfId="2" applyFont="1" applyFill="1" applyBorder="1" applyAlignment="1" applyProtection="1">
      <alignment vertical="center"/>
    </xf>
    <xf numFmtId="9" fontId="12" fillId="2" borderId="0" xfId="2"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Border="1" applyAlignment="1" applyProtection="1">
      <alignment vertical="center"/>
    </xf>
    <xf numFmtId="164" fontId="18" fillId="4" borderId="0" xfId="0" applyNumberFormat="1" applyFont="1" applyFill="1" applyBorder="1" applyAlignment="1" applyProtection="1">
      <alignment horizontal="right" vertical="center"/>
    </xf>
    <xf numFmtId="166" fontId="12" fillId="0" borderId="0" xfId="1" applyNumberFormat="1" applyFont="1" applyFill="1" applyBorder="1" applyAlignment="1" applyProtection="1">
      <alignment vertical="center"/>
    </xf>
    <xf numFmtId="166" fontId="12" fillId="4" borderId="0" xfId="1" applyNumberFormat="1" applyFont="1" applyFill="1" applyBorder="1" applyAlignment="1" applyProtection="1">
      <alignment vertical="center"/>
    </xf>
    <xf numFmtId="0" fontId="0" fillId="4" borderId="0" xfId="0" applyFill="1" applyAlignment="1">
      <alignment vertical="center"/>
    </xf>
    <xf numFmtId="0" fontId="12" fillId="2" borderId="0" xfId="0" applyFont="1" applyFill="1" applyBorder="1" applyAlignment="1" applyProtection="1">
      <alignment horizontal="left" vertical="center" wrapText="1"/>
    </xf>
    <xf numFmtId="0" fontId="18" fillId="3" borderId="0" xfId="0" applyFont="1" applyFill="1" applyBorder="1" applyAlignment="1" applyProtection="1">
      <alignment horizontal="right" vertical="center"/>
    </xf>
    <xf numFmtId="0" fontId="19" fillId="3" borderId="0" xfId="0" applyFont="1" applyFill="1" applyBorder="1" applyAlignment="1" applyProtection="1">
      <alignment horizontal="right"/>
    </xf>
    <xf numFmtId="164" fontId="19" fillId="0" borderId="0" xfId="0" applyNumberFormat="1" applyFont="1" applyFill="1" applyBorder="1" applyAlignment="1" applyProtection="1">
      <alignment horizontal="right"/>
    </xf>
    <xf numFmtId="166" fontId="12" fillId="0" borderId="0" xfId="1" applyNumberFormat="1" applyFont="1" applyFill="1" applyBorder="1" applyProtection="1"/>
    <xf numFmtId="165" fontId="13" fillId="4" borderId="0" xfId="1" applyNumberFormat="1" applyFont="1" applyFill="1" applyBorder="1" applyAlignment="1" applyProtection="1">
      <alignment vertical="center"/>
    </xf>
    <xf numFmtId="3" fontId="13" fillId="3" borderId="1" xfId="2" applyNumberFormat="1" applyFont="1" applyFill="1" applyBorder="1" applyAlignment="1" applyProtection="1">
      <alignment horizontal="right" vertical="center" wrapText="1"/>
    </xf>
    <xf numFmtId="3" fontId="21" fillId="2" borderId="1" xfId="2" applyNumberFormat="1" applyFont="1" applyFill="1" applyBorder="1" applyAlignment="1" applyProtection="1">
      <alignment horizontal="right" vertical="center"/>
      <protection hidden="1"/>
    </xf>
    <xf numFmtId="3" fontId="21" fillId="3" borderId="1" xfId="2" applyNumberFormat="1" applyFont="1" applyFill="1" applyBorder="1" applyAlignment="1" applyProtection="1">
      <alignment horizontal="right" vertical="center"/>
    </xf>
    <xf numFmtId="0" fontId="12" fillId="2" borderId="0" xfId="0" applyFont="1" applyFill="1" applyBorder="1" applyAlignment="1" applyProtection="1">
      <alignment horizontal="left" vertical="center" wrapText="1"/>
    </xf>
    <xf numFmtId="4" fontId="30" fillId="0" borderId="0" xfId="0" applyNumberFormat="1" applyFont="1"/>
    <xf numFmtId="9" fontId="13" fillId="3" borderId="1" xfId="2" applyNumberFormat="1" applyFont="1" applyFill="1" applyBorder="1" applyAlignment="1" applyProtection="1">
      <alignment horizontal="right" vertical="center"/>
    </xf>
    <xf numFmtId="10" fontId="0" fillId="0" borderId="0" xfId="2" applyNumberFormat="1" applyFont="1"/>
    <xf numFmtId="3" fontId="18" fillId="3" borderId="1" xfId="2" applyNumberFormat="1" applyFont="1" applyFill="1" applyBorder="1" applyAlignment="1" applyProtection="1">
      <alignment horizontal="right" vertical="center"/>
    </xf>
    <xf numFmtId="0" fontId="21" fillId="2" borderId="0" xfId="0" applyFont="1" applyFill="1" applyBorder="1" applyAlignment="1" applyProtection="1">
      <alignment vertical="center"/>
    </xf>
    <xf numFmtId="173" fontId="0" fillId="0" borderId="0" xfId="2" applyNumberFormat="1" applyFont="1"/>
    <xf numFmtId="0" fontId="12" fillId="2" borderId="6" xfId="0" applyFont="1" applyFill="1" applyBorder="1" applyAlignment="1" applyProtection="1">
      <alignment horizontal="left" vertical="center"/>
    </xf>
    <xf numFmtId="0" fontId="12" fillId="2" borderId="7" xfId="0" applyFont="1" applyFill="1" applyBorder="1" applyAlignment="1" applyProtection="1">
      <alignment horizontal="center" vertical="center"/>
    </xf>
    <xf numFmtId="164" fontId="12" fillId="0" borderId="7" xfId="0" applyNumberFormat="1" applyFont="1" applyFill="1" applyBorder="1" applyAlignment="1" applyProtection="1">
      <alignment horizontal="right" vertical="center"/>
    </xf>
    <xf numFmtId="0" fontId="12" fillId="2" borderId="8" xfId="0" applyFont="1" applyFill="1" applyBorder="1" applyAlignment="1" applyProtection="1">
      <alignment horizontal="left" vertical="center"/>
    </xf>
    <xf numFmtId="0" fontId="18" fillId="3" borderId="8" xfId="0" applyFont="1" applyFill="1" applyBorder="1" applyAlignment="1" applyProtection="1">
      <alignment vertical="center"/>
    </xf>
    <xf numFmtId="0" fontId="17" fillId="4" borderId="0" xfId="3" applyFont="1" applyFill="1" applyAlignment="1">
      <alignment horizontal="left"/>
    </xf>
    <xf numFmtId="164" fontId="12" fillId="4" borderId="0" xfId="0" applyNumberFormat="1" applyFont="1" applyFill="1" applyBorder="1" applyAlignment="1" applyProtection="1">
      <alignment horizontal="right" vertical="center"/>
    </xf>
    <xf numFmtId="174" fontId="0" fillId="0" borderId="0" xfId="0" applyNumberFormat="1"/>
    <xf numFmtId="0" fontId="20" fillId="4" borderId="0" xfId="3" applyFont="1" applyFill="1" applyAlignment="1">
      <alignment horizontal="left" vertical="center"/>
    </xf>
    <xf numFmtId="0" fontId="0" fillId="2" borderId="0" xfId="0" applyFill="1"/>
    <xf numFmtId="0" fontId="17" fillId="4" borderId="0" xfId="3" applyFont="1" applyFill="1" applyAlignment="1">
      <alignment horizontal="left"/>
    </xf>
    <xf numFmtId="0" fontId="20" fillId="4" borderId="0" xfId="3" applyFont="1" applyFill="1" applyAlignment="1">
      <alignment horizontal="left" vertical="center"/>
    </xf>
    <xf numFmtId="0" fontId="18" fillId="3" borderId="1" xfId="0" applyNumberFormat="1" applyFont="1" applyFill="1" applyBorder="1" applyAlignment="1" applyProtection="1">
      <alignment horizontal="center" vertical="center"/>
    </xf>
    <xf numFmtId="164" fontId="18" fillId="2" borderId="1" xfId="0" applyNumberFormat="1" applyFont="1" applyFill="1" applyBorder="1" applyAlignment="1" applyProtection="1">
      <alignment horizontal="center" vertical="center" wrapText="1"/>
    </xf>
    <xf numFmtId="0" fontId="18" fillId="4" borderId="0" xfId="0" applyNumberFormat="1" applyFont="1" applyFill="1" applyBorder="1" applyAlignment="1" applyProtection="1">
      <alignment horizontal="left" vertical="center"/>
    </xf>
    <xf numFmtId="164" fontId="18" fillId="2" borderId="1" xfId="0" applyNumberFormat="1" applyFont="1" applyFill="1" applyBorder="1" applyAlignment="1" applyProtection="1">
      <alignment horizontal="center" vertical="center" wrapText="1"/>
    </xf>
    <xf numFmtId="0" fontId="18" fillId="3" borderId="0" xfId="0" applyNumberFormat="1" applyFont="1" applyFill="1" applyBorder="1" applyAlignment="1" applyProtection="1">
      <alignment horizontal="left" vertical="center"/>
    </xf>
    <xf numFmtId="0" fontId="18" fillId="3" borderId="0" xfId="0" applyNumberFormat="1" applyFont="1" applyFill="1" applyBorder="1" applyAlignment="1" applyProtection="1">
      <alignment horizontal="center" vertical="center"/>
    </xf>
    <xf numFmtId="0" fontId="18" fillId="4" borderId="0" xfId="0" applyNumberFormat="1" applyFont="1" applyFill="1" applyBorder="1" applyAlignment="1" applyProtection="1">
      <alignment horizontal="center" vertical="center"/>
    </xf>
    <xf numFmtId="0" fontId="21" fillId="2" borderId="0" xfId="0" applyFont="1" applyFill="1" applyBorder="1" applyAlignment="1" applyProtection="1">
      <alignment horizontal="left"/>
    </xf>
    <xf numFmtId="0" fontId="11" fillId="4" borderId="0" xfId="0" applyNumberFormat="1" applyFont="1" applyFill="1" applyBorder="1" applyAlignment="1" applyProtection="1">
      <alignment horizontal="center" vertical="center"/>
    </xf>
    <xf numFmtId="0" fontId="0" fillId="2" borderId="0" xfId="0" applyFill="1" applyBorder="1" applyAlignment="1">
      <alignment horizontal="left" vertical="center"/>
    </xf>
    <xf numFmtId="0" fontId="21" fillId="4" borderId="0" xfId="0" applyFont="1" applyFill="1" applyBorder="1" applyAlignment="1" applyProtection="1">
      <alignment horizontal="left"/>
    </xf>
    <xf numFmtId="0" fontId="0" fillId="4" borderId="0" xfId="0" applyFill="1" applyBorder="1" applyAlignment="1">
      <alignment horizontal="left" vertical="center"/>
    </xf>
    <xf numFmtId="2" fontId="18" fillId="4" borderId="0" xfId="0" applyNumberFormat="1" applyFont="1" applyFill="1" applyBorder="1" applyAlignment="1" applyProtection="1">
      <alignment horizontal="center" vertical="center"/>
    </xf>
    <xf numFmtId="0" fontId="18" fillId="4" borderId="0" xfId="0" applyNumberFormat="1" applyFont="1" applyFill="1" applyBorder="1" applyAlignment="1" applyProtection="1">
      <alignment vertical="center"/>
    </xf>
    <xf numFmtId="164" fontId="18" fillId="4" borderId="0" xfId="0" applyNumberFormat="1" applyFont="1" applyFill="1" applyBorder="1" applyAlignment="1" applyProtection="1">
      <alignment vertical="center"/>
    </xf>
    <xf numFmtId="164" fontId="18" fillId="4" borderId="0" xfId="0" applyNumberFormat="1" applyFont="1" applyFill="1" applyBorder="1" applyAlignment="1" applyProtection="1">
      <alignment horizontal="center" vertical="center"/>
    </xf>
    <xf numFmtId="0" fontId="18" fillId="3" borderId="1" xfId="0" applyNumberFormat="1" applyFont="1" applyFill="1" applyBorder="1" applyAlignment="1" applyProtection="1">
      <alignment horizontal="center" vertical="center" wrapText="1"/>
    </xf>
    <xf numFmtId="2" fontId="18" fillId="3" borderId="1" xfId="0" applyNumberFormat="1"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18" fillId="4" borderId="0" xfId="0" applyNumberFormat="1" applyFont="1" applyFill="1" applyBorder="1" applyAlignment="1" applyProtection="1">
      <alignment horizontal="center" vertical="center" wrapText="1"/>
    </xf>
    <xf numFmtId="0" fontId="21" fillId="4" borderId="0" xfId="0" applyNumberFormat="1" applyFont="1" applyFill="1" applyBorder="1" applyAlignment="1" applyProtection="1">
      <alignment horizontal="center" vertical="center" wrapText="1"/>
    </xf>
    <xf numFmtId="0" fontId="21" fillId="4" borderId="0" xfId="0" applyFont="1" applyFill="1" applyBorder="1" applyAlignment="1" applyProtection="1">
      <alignment vertical="center" wrapText="1"/>
    </xf>
    <xf numFmtId="0" fontId="0" fillId="4" borderId="0" xfId="0" applyFill="1"/>
    <xf numFmtId="168" fontId="18" fillId="3" borderId="1" xfId="0" applyNumberFormat="1" applyFont="1" applyFill="1" applyBorder="1" applyAlignment="1" applyProtection="1">
      <alignment horizontal="center" vertical="center" wrapText="1"/>
    </xf>
    <xf numFmtId="3" fontId="18" fillId="3" borderId="1" xfId="0" applyNumberFormat="1" applyFont="1" applyFill="1" applyBorder="1" applyAlignment="1" applyProtection="1">
      <alignment horizontal="center" vertical="center" wrapText="1"/>
    </xf>
    <xf numFmtId="168" fontId="18" fillId="3" borderId="0" xfId="0" applyNumberFormat="1" applyFont="1" applyFill="1" applyBorder="1" applyAlignment="1" applyProtection="1">
      <alignment horizontal="center" vertical="center" wrapText="1"/>
    </xf>
    <xf numFmtId="168" fontId="18" fillId="4" borderId="0" xfId="0" applyNumberFormat="1" applyFont="1" applyFill="1" applyBorder="1" applyAlignment="1" applyProtection="1">
      <alignment horizontal="center" vertical="center" wrapText="1"/>
    </xf>
    <xf numFmtId="164" fontId="18" fillId="4" borderId="0" xfId="0" applyNumberFormat="1" applyFont="1" applyFill="1" applyBorder="1" applyAlignment="1" applyProtection="1">
      <alignment vertical="center" wrapText="1"/>
    </xf>
    <xf numFmtId="164" fontId="18" fillId="4" borderId="0" xfId="0" applyNumberFormat="1" applyFont="1" applyFill="1" applyBorder="1" applyAlignment="1" applyProtection="1">
      <alignment horizontal="center" vertical="center" wrapText="1"/>
    </xf>
    <xf numFmtId="0" fontId="18" fillId="2" borderId="0" xfId="0" applyNumberFormat="1" applyFont="1" applyFill="1" applyBorder="1" applyAlignment="1" applyProtection="1">
      <alignment horizontal="left" vertical="center"/>
    </xf>
    <xf numFmtId="168" fontId="0" fillId="0" borderId="0" xfId="0" applyNumberFormat="1"/>
    <xf numFmtId="174" fontId="18" fillId="4" borderId="0" xfId="0" applyNumberFormat="1" applyFont="1" applyFill="1" applyBorder="1" applyAlignment="1" applyProtection="1">
      <alignment horizontal="center" vertical="center" wrapText="1"/>
    </xf>
    <xf numFmtId="0" fontId="35" fillId="4" borderId="0" xfId="0" applyFont="1" applyFill="1"/>
    <xf numFmtId="2" fontId="18" fillId="7" borderId="1" xfId="0" applyNumberFormat="1" applyFont="1" applyFill="1" applyBorder="1" applyAlignment="1" applyProtection="1">
      <alignment horizontal="center" vertical="center" wrapText="1"/>
    </xf>
    <xf numFmtId="4" fontId="18" fillId="7" borderId="1" xfId="0" applyNumberFormat="1" applyFont="1" applyFill="1" applyBorder="1" applyAlignment="1" applyProtection="1">
      <alignment horizontal="center" vertical="center" wrapText="1"/>
    </xf>
    <xf numFmtId="4" fontId="18" fillId="3" borderId="1" xfId="0" applyNumberFormat="1" applyFont="1" applyFill="1" applyBorder="1" applyAlignment="1" applyProtection="1">
      <alignment horizontal="center" vertical="center" wrapText="1"/>
    </xf>
    <xf numFmtId="10" fontId="18" fillId="3" borderId="1" xfId="2" applyNumberFormat="1" applyFont="1" applyFill="1" applyBorder="1" applyAlignment="1" applyProtection="1">
      <alignment horizontal="center" vertical="center" wrapText="1"/>
    </xf>
    <xf numFmtId="0" fontId="19" fillId="3" borderId="12" xfId="0" applyFont="1" applyFill="1" applyBorder="1" applyAlignment="1">
      <alignment horizontal="right" vertical="center"/>
    </xf>
    <xf numFmtId="164" fontId="18" fillId="2" borderId="14" xfId="0" applyNumberFormat="1" applyFont="1" applyFill="1" applyBorder="1" applyAlignment="1" applyProtection="1">
      <alignment horizontal="center" vertical="center" wrapText="1"/>
    </xf>
    <xf numFmtId="10" fontId="18" fillId="3" borderId="14" xfId="2" applyNumberFormat="1" applyFont="1" applyFill="1" applyBorder="1" applyAlignment="1" applyProtection="1">
      <alignment horizontal="center" vertical="center" wrapText="1"/>
    </xf>
    <xf numFmtId="0" fontId="18" fillId="3" borderId="12" xfId="0" applyFont="1" applyFill="1" applyBorder="1" applyAlignment="1" applyProtection="1">
      <alignment vertical="center"/>
    </xf>
    <xf numFmtId="2" fontId="18" fillId="3" borderId="14" xfId="0" applyNumberFormat="1" applyFont="1" applyFill="1" applyBorder="1" applyAlignment="1" applyProtection="1">
      <alignment horizontal="center" vertical="center" wrapText="1"/>
    </xf>
    <xf numFmtId="2" fontId="18" fillId="3" borderId="15" xfId="0" applyNumberFormat="1" applyFont="1" applyFill="1" applyBorder="1" applyAlignment="1" applyProtection="1">
      <alignment horizontal="center" vertical="center" wrapText="1"/>
    </xf>
    <xf numFmtId="2" fontId="18" fillId="3" borderId="16" xfId="0" applyNumberFormat="1" applyFont="1" applyFill="1" applyBorder="1" applyAlignment="1" applyProtection="1">
      <alignment horizontal="center" vertical="center" wrapText="1"/>
    </xf>
    <xf numFmtId="0" fontId="18" fillId="3" borderId="12" xfId="0" applyFont="1" applyFill="1" applyBorder="1" applyAlignment="1">
      <alignment vertical="center"/>
    </xf>
    <xf numFmtId="0" fontId="29" fillId="4" borderId="0" xfId="0" applyFont="1" applyFill="1" applyBorder="1" applyAlignment="1">
      <alignment horizontal="right" vertical="center" wrapText="1"/>
    </xf>
    <xf numFmtId="0" fontId="37" fillId="4" borderId="0" xfId="0" applyFont="1" applyFill="1" applyBorder="1" applyAlignment="1">
      <alignment horizontal="right" vertical="center" wrapText="1"/>
    </xf>
    <xf numFmtId="3" fontId="37" fillId="4" borderId="0" xfId="2" applyNumberFormat="1" applyFont="1" applyFill="1" applyBorder="1" applyAlignment="1" applyProtection="1">
      <alignment horizontal="right" vertical="center" wrapText="1"/>
    </xf>
    <xf numFmtId="3" fontId="37" fillId="4" borderId="0" xfId="0" applyNumberFormat="1" applyFont="1" applyFill="1" applyBorder="1" applyAlignment="1">
      <alignment horizontal="right" vertical="center" wrapText="1"/>
    </xf>
    <xf numFmtId="3" fontId="37" fillId="4" borderId="0" xfId="2" applyNumberFormat="1" applyFont="1" applyFill="1" applyBorder="1" applyAlignment="1">
      <alignment horizontal="right" vertical="center" wrapText="1"/>
    </xf>
    <xf numFmtId="10" fontId="37" fillId="4" borderId="0" xfId="2" applyNumberFormat="1" applyFont="1" applyFill="1" applyBorder="1" applyAlignment="1">
      <alignment horizontal="right" vertical="center" wrapText="1"/>
    </xf>
    <xf numFmtId="0" fontId="35" fillId="0" borderId="0" xfId="0" applyFont="1"/>
    <xf numFmtId="168" fontId="35" fillId="0" borderId="0" xfId="0" applyNumberFormat="1" applyFont="1"/>
    <xf numFmtId="0" fontId="35" fillId="0" borderId="0" xfId="0" applyFont="1" applyAlignment="1">
      <alignment horizontal="right"/>
    </xf>
    <xf numFmtId="0" fontId="17" fillId="4" borderId="0" xfId="3" applyFont="1" applyFill="1" applyAlignment="1">
      <alignment horizontal="left"/>
    </xf>
    <xf numFmtId="0" fontId="20" fillId="4" borderId="0" xfId="3" applyFont="1" applyFill="1" applyAlignment="1">
      <alignment horizontal="left" vertical="center"/>
    </xf>
    <xf numFmtId="164" fontId="18" fillId="2" borderId="1" xfId="0" applyNumberFormat="1" applyFont="1" applyFill="1" applyBorder="1" applyAlignment="1" applyProtection="1">
      <alignment horizontal="center" vertical="center" wrapText="1"/>
    </xf>
    <xf numFmtId="170" fontId="0" fillId="4" borderId="0" xfId="0" applyNumberFormat="1" applyFill="1"/>
    <xf numFmtId="0" fontId="13" fillId="3" borderId="1" xfId="2" applyNumberFormat="1" applyFont="1" applyFill="1" applyBorder="1" applyAlignment="1" applyProtection="1">
      <alignment horizontal="right" vertical="center" wrapText="1"/>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center" vertical="center"/>
    </xf>
    <xf numFmtId="9" fontId="13" fillId="4" borderId="0" xfId="2" applyNumberFormat="1" applyFont="1" applyFill="1" applyBorder="1" applyAlignment="1" applyProtection="1">
      <alignment horizontal="right" vertical="center"/>
      <protection locked="0"/>
    </xf>
    <xf numFmtId="172" fontId="0" fillId="0" borderId="0" xfId="2" applyNumberFormat="1" applyFont="1" applyAlignment="1">
      <alignment vertical="center"/>
    </xf>
    <xf numFmtId="177" fontId="12" fillId="2" borderId="0" xfId="0" applyNumberFormat="1" applyFont="1" applyFill="1" applyBorder="1" applyAlignment="1" applyProtection="1">
      <alignment horizontal="right" vertical="center"/>
    </xf>
    <xf numFmtId="172" fontId="12" fillId="2" borderId="0" xfId="2" applyNumberFormat="1" applyFont="1" applyFill="1" applyBorder="1" applyAlignment="1" applyProtection="1">
      <alignment horizontal="right" vertical="center"/>
    </xf>
    <xf numFmtId="3" fontId="13" fillId="3" borderId="0" xfId="2" applyNumberFormat="1" applyFont="1" applyFill="1" applyBorder="1" applyAlignment="1" applyProtection="1">
      <alignment horizontal="right" vertical="center"/>
    </xf>
    <xf numFmtId="3" fontId="33" fillId="4" borderId="0" xfId="2" applyNumberFormat="1" applyFont="1" applyFill="1" applyBorder="1" applyAlignment="1" applyProtection="1">
      <alignment horizontal="right" vertical="center"/>
      <protection locked="0"/>
    </xf>
    <xf numFmtId="0" fontId="18" fillId="3" borderId="9" xfId="0" applyFont="1" applyFill="1" applyBorder="1" applyAlignment="1" applyProtection="1">
      <alignment vertical="center"/>
    </xf>
    <xf numFmtId="3" fontId="36" fillId="0" borderId="0" xfId="0" applyNumberFormat="1" applyFont="1" applyAlignment="1">
      <alignment horizontal="right"/>
    </xf>
    <xf numFmtId="3" fontId="18" fillId="6" borderId="1" xfId="2" applyNumberFormat="1" applyFont="1" applyFill="1" applyBorder="1" applyAlignment="1" applyProtection="1">
      <alignment horizontal="right" vertical="center"/>
      <protection locked="0"/>
    </xf>
    <xf numFmtId="9" fontId="13" fillId="6" borderId="1" xfId="2" applyNumberFormat="1" applyFont="1" applyFill="1" applyBorder="1" applyAlignment="1" applyProtection="1">
      <alignment horizontal="right" vertical="center"/>
      <protection locked="0"/>
    </xf>
    <xf numFmtId="0" fontId="18" fillId="6" borderId="1" xfId="0" applyNumberFormat="1" applyFont="1" applyFill="1" applyBorder="1" applyAlignment="1" applyProtection="1">
      <alignment horizontal="center" vertical="center" wrapText="1"/>
    </xf>
    <xf numFmtId="2" fontId="18" fillId="6" borderId="1" xfId="0" applyNumberFormat="1" applyFont="1" applyFill="1" applyBorder="1" applyAlignment="1" applyProtection="1">
      <alignment horizontal="center" vertical="center" wrapText="1"/>
    </xf>
    <xf numFmtId="3" fontId="18" fillId="6" borderId="1" xfId="0" applyNumberFormat="1" applyFont="1" applyFill="1" applyBorder="1" applyAlignment="1" applyProtection="1">
      <alignment horizontal="center" vertical="center" wrapText="1"/>
    </xf>
    <xf numFmtId="176" fontId="18" fillId="6" borderId="1" xfId="0" applyNumberFormat="1" applyFont="1" applyFill="1" applyBorder="1" applyAlignment="1" applyProtection="1">
      <alignment horizontal="center" vertical="center" wrapText="1"/>
    </xf>
    <xf numFmtId="3" fontId="21" fillId="3" borderId="1" xfId="2" applyNumberFormat="1" applyFont="1" applyFill="1" applyBorder="1" applyAlignment="1" applyProtection="1">
      <alignment horizontal="right" vertical="center" wrapText="1"/>
    </xf>
    <xf numFmtId="1" fontId="0" fillId="0" borderId="0" xfId="0" applyNumberFormat="1"/>
    <xf numFmtId="3" fontId="18" fillId="3" borderId="0" xfId="2" applyNumberFormat="1" applyFont="1" applyFill="1" applyBorder="1" applyAlignment="1" applyProtection="1">
      <alignment horizontal="right" vertical="center"/>
    </xf>
    <xf numFmtId="174" fontId="29" fillId="4" borderId="0" xfId="0" applyNumberFormat="1" applyFont="1" applyFill="1" applyBorder="1" applyAlignment="1">
      <alignment horizontal="right" vertical="center" wrapText="1"/>
    </xf>
    <xf numFmtId="3" fontId="29" fillId="4" borderId="0" xfId="0" applyNumberFormat="1" applyFont="1" applyFill="1" applyBorder="1" applyAlignment="1">
      <alignment horizontal="right" vertical="center" wrapText="1"/>
    </xf>
    <xf numFmtId="164" fontId="18" fillId="2" borderId="1" xfId="0" applyNumberFormat="1" applyFont="1" applyFill="1" applyBorder="1" applyAlignment="1" applyProtection="1">
      <alignment horizontal="center" vertical="center" wrapText="1"/>
    </xf>
    <xf numFmtId="3" fontId="0" fillId="4" borderId="0" xfId="0" applyNumberFormat="1" applyFill="1" applyBorder="1" applyAlignment="1">
      <alignment horizontal="right" vertical="center" wrapText="1"/>
    </xf>
    <xf numFmtId="3" fontId="0" fillId="4" borderId="0" xfId="0" applyNumberFormat="1" applyFill="1" applyBorder="1"/>
    <xf numFmtId="3" fontId="13" fillId="7" borderId="1" xfId="2" applyNumberFormat="1" applyFont="1" applyFill="1" applyBorder="1" applyAlignment="1" applyProtection="1">
      <alignment horizontal="right" vertical="center" wrapText="1"/>
    </xf>
    <xf numFmtId="164" fontId="18" fillId="2" borderId="1" xfId="0" applyNumberFormat="1" applyFont="1" applyFill="1" applyBorder="1" applyAlignment="1" applyProtection="1">
      <alignment horizontal="center" vertical="center" wrapText="1"/>
    </xf>
    <xf numFmtId="0" fontId="21" fillId="2" borderId="0" xfId="0" applyFont="1" applyFill="1" applyBorder="1" applyAlignment="1" applyProtection="1">
      <alignment horizontal="left"/>
    </xf>
    <xf numFmtId="3" fontId="21" fillId="4" borderId="0" xfId="0" applyNumberFormat="1" applyFont="1" applyFill="1" applyBorder="1" applyAlignment="1" applyProtection="1">
      <alignment vertical="center"/>
    </xf>
    <xf numFmtId="2" fontId="18" fillId="4" borderId="0" xfId="0" applyNumberFormat="1" applyFont="1" applyFill="1" applyBorder="1" applyAlignment="1" applyProtection="1">
      <alignment horizontal="center" vertical="center" wrapText="1"/>
    </xf>
    <xf numFmtId="2" fontId="21" fillId="2" borderId="0" xfId="0" applyNumberFormat="1" applyFont="1" applyFill="1" applyBorder="1" applyAlignment="1" applyProtection="1">
      <alignment horizontal="center" vertical="center" wrapText="1"/>
    </xf>
    <xf numFmtId="0" fontId="17" fillId="4" borderId="0" xfId="3" applyFont="1" applyFill="1" applyAlignment="1">
      <alignment horizontal="left" vertical="center"/>
    </xf>
    <xf numFmtId="3" fontId="29" fillId="4" borderId="0" xfId="0" applyNumberFormat="1" applyFont="1" applyFill="1" applyBorder="1" applyAlignment="1">
      <alignment horizontal="right" vertical="center" wrapText="1"/>
    </xf>
    <xf numFmtId="3" fontId="29" fillId="4" borderId="0" xfId="0" applyNumberFormat="1" applyFont="1" applyFill="1" applyBorder="1" applyAlignment="1">
      <alignment horizontal="right" vertical="center" wrapText="1"/>
    </xf>
    <xf numFmtId="167" fontId="18" fillId="3" borderId="1" xfId="2" applyNumberFormat="1" applyFont="1" applyFill="1" applyBorder="1" applyAlignment="1" applyProtection="1">
      <alignment horizontal="right" vertical="center" wrapText="1"/>
    </xf>
    <xf numFmtId="2" fontId="18" fillId="3" borderId="1" xfId="2" applyNumberFormat="1" applyFont="1" applyFill="1" applyBorder="1" applyAlignment="1" applyProtection="1">
      <alignment horizontal="right" vertical="center" wrapText="1"/>
    </xf>
    <xf numFmtId="0" fontId="13" fillId="3" borderId="10" xfId="0" applyFont="1" applyFill="1" applyBorder="1" applyAlignment="1" applyProtection="1">
      <alignment horizontal="center" vertical="center"/>
    </xf>
    <xf numFmtId="2" fontId="18" fillId="3" borderId="18" xfId="2" applyNumberFormat="1" applyFont="1" applyFill="1" applyBorder="1" applyAlignment="1" applyProtection="1">
      <alignment horizontal="right" vertical="center" wrapText="1"/>
    </xf>
    <xf numFmtId="164" fontId="11" fillId="5" borderId="7" xfId="0" applyNumberFormat="1" applyFont="1" applyFill="1" applyBorder="1" applyAlignment="1" applyProtection="1">
      <alignment horizontal="center" vertical="center"/>
    </xf>
    <xf numFmtId="3" fontId="21" fillId="3" borderId="1" xfId="2" applyNumberFormat="1" applyFont="1" applyFill="1" applyBorder="1" applyAlignment="1" applyProtection="1">
      <alignment horizontal="right" vertical="center"/>
      <protection hidden="1"/>
    </xf>
    <xf numFmtId="3" fontId="29" fillId="4" borderId="0" xfId="0" applyNumberFormat="1" applyFont="1" applyFill="1" applyBorder="1" applyAlignment="1">
      <alignment vertical="center" wrapText="1"/>
    </xf>
    <xf numFmtId="3" fontId="21" fillId="4" borderId="1" xfId="2" applyNumberFormat="1" applyFont="1" applyFill="1" applyBorder="1" applyAlignment="1" applyProtection="1">
      <alignment horizontal="right" vertical="center"/>
      <protection hidden="1"/>
    </xf>
    <xf numFmtId="3" fontId="18" fillId="3" borderId="1" xfId="2" applyNumberFormat="1" applyFont="1" applyFill="1" applyBorder="1" applyAlignment="1" applyProtection="1">
      <alignment horizontal="right" vertical="center"/>
      <protection hidden="1"/>
    </xf>
    <xf numFmtId="9" fontId="18" fillId="3" borderId="1" xfId="2" applyFont="1" applyFill="1" applyBorder="1" applyAlignment="1" applyProtection="1">
      <alignment horizontal="right" vertical="center"/>
      <protection hidden="1"/>
    </xf>
    <xf numFmtId="0" fontId="12" fillId="3" borderId="0" xfId="0" applyFont="1" applyFill="1" applyBorder="1" applyAlignment="1" applyProtection="1">
      <alignment horizontal="left" vertical="center" wrapText="1"/>
    </xf>
    <xf numFmtId="164" fontId="13" fillId="3" borderId="0" xfId="0" applyNumberFormat="1" applyFont="1" applyFill="1" applyBorder="1" applyAlignment="1" applyProtection="1">
      <alignment horizontal="right" vertical="center"/>
    </xf>
    <xf numFmtId="0" fontId="19" fillId="4" borderId="0" xfId="0" applyFont="1" applyFill="1" applyBorder="1" applyAlignment="1" applyProtection="1">
      <alignment horizontal="right"/>
    </xf>
    <xf numFmtId="164" fontId="19" fillId="4" borderId="0" xfId="0" applyNumberFormat="1" applyFont="1" applyFill="1" applyBorder="1" applyAlignment="1" applyProtection="1">
      <alignment horizontal="right"/>
    </xf>
    <xf numFmtId="10" fontId="19" fillId="4" borderId="0" xfId="2" applyNumberFormat="1" applyFont="1" applyFill="1" applyBorder="1" applyAlignment="1" applyProtection="1">
      <alignment horizontal="right" vertical="center"/>
    </xf>
    <xf numFmtId="167" fontId="18" fillId="3" borderId="1" xfId="2" applyNumberFormat="1" applyFont="1" applyFill="1" applyBorder="1" applyAlignment="1" applyProtection="1">
      <alignment horizontal="right" vertical="center"/>
      <protection hidden="1"/>
    </xf>
    <xf numFmtId="176" fontId="29" fillId="4" borderId="0" xfId="0" applyNumberFormat="1" applyFont="1" applyFill="1" applyBorder="1" applyAlignment="1">
      <alignment horizontal="right" vertical="center" wrapText="1"/>
    </xf>
    <xf numFmtId="0" fontId="40" fillId="3" borderId="8" xfId="0" applyFont="1" applyFill="1" applyBorder="1" applyAlignment="1" applyProtection="1">
      <alignment horizontal="right" vertical="center"/>
    </xf>
    <xf numFmtId="0" fontId="40" fillId="3" borderId="0" xfId="0" applyFont="1" applyFill="1" applyBorder="1" applyAlignment="1" applyProtection="1">
      <alignment horizontal="center" vertical="center"/>
    </xf>
    <xf numFmtId="166" fontId="42" fillId="0" borderId="0" xfId="1" applyNumberFormat="1" applyFont="1" applyFill="1" applyBorder="1" applyAlignment="1" applyProtection="1">
      <alignment vertical="center"/>
    </xf>
    <xf numFmtId="2" fontId="40" fillId="3" borderId="1" xfId="2" applyNumberFormat="1" applyFont="1" applyFill="1" applyBorder="1" applyAlignment="1" applyProtection="1">
      <alignment horizontal="right" vertical="center" wrapText="1"/>
    </xf>
    <xf numFmtId="0" fontId="43" fillId="3" borderId="0" xfId="0" applyFont="1" applyFill="1" applyBorder="1" applyAlignment="1" applyProtection="1">
      <alignment horizontal="right" vertical="center" wrapText="1"/>
    </xf>
    <xf numFmtId="0" fontId="39" fillId="4" borderId="0" xfId="0" applyFont="1" applyFill="1" applyAlignment="1">
      <alignment horizontal="left" vertical="center" wrapText="1"/>
    </xf>
    <xf numFmtId="0" fontId="12" fillId="2" borderId="20" xfId="0" applyFont="1" applyFill="1" applyBorder="1" applyAlignment="1" applyProtection="1">
      <alignment horizontal="left" vertical="center"/>
    </xf>
    <xf numFmtId="0" fontId="12" fillId="2" borderId="17" xfId="0" applyFont="1" applyFill="1" applyBorder="1" applyAlignment="1" applyProtection="1">
      <alignment horizontal="left" vertical="center"/>
    </xf>
    <xf numFmtId="0" fontId="13" fillId="3" borderId="2" xfId="0" applyFont="1" applyFill="1" applyBorder="1" applyAlignment="1" applyProtection="1">
      <alignment horizontal="center" vertical="center"/>
    </xf>
    <xf numFmtId="164" fontId="18" fillId="2" borderId="3" xfId="0" applyNumberFormat="1" applyFont="1" applyFill="1" applyBorder="1" applyAlignment="1" applyProtection="1">
      <alignment horizontal="center" vertical="center" wrapText="1"/>
    </xf>
    <xf numFmtId="164" fontId="18" fillId="2" borderId="1" xfId="0" applyNumberFormat="1" applyFont="1" applyFill="1" applyBorder="1" applyAlignment="1" applyProtection="1">
      <alignment horizontal="center" vertical="center" wrapText="1"/>
    </xf>
    <xf numFmtId="164" fontId="11" fillId="5" borderId="0" xfId="0" applyNumberFormat="1" applyFont="1" applyFill="1" applyBorder="1" applyAlignment="1" applyProtection="1">
      <alignment horizontal="center" vertical="center"/>
    </xf>
    <xf numFmtId="9" fontId="18" fillId="3" borderId="1" xfId="2" applyFont="1" applyFill="1" applyBorder="1" applyAlignment="1" applyProtection="1">
      <alignment horizontal="center" vertical="center" wrapText="1"/>
    </xf>
    <xf numFmtId="0" fontId="18" fillId="3" borderId="22" xfId="0" applyFont="1" applyFill="1" applyBorder="1" applyAlignment="1" applyProtection="1">
      <alignment vertical="center"/>
    </xf>
    <xf numFmtId="9" fontId="18" fillId="3" borderId="15" xfId="2" applyFont="1" applyFill="1" applyBorder="1" applyAlignment="1" applyProtection="1">
      <alignment horizontal="center" vertical="center" wrapText="1"/>
    </xf>
    <xf numFmtId="0" fontId="26" fillId="4" borderId="0" xfId="0" applyFont="1" applyFill="1" applyBorder="1" applyProtection="1"/>
    <xf numFmtId="9" fontId="18" fillId="3" borderId="3" xfId="2" applyFont="1" applyFill="1" applyBorder="1" applyAlignment="1" applyProtection="1">
      <alignment horizontal="center" vertical="center" wrapText="1"/>
    </xf>
    <xf numFmtId="9" fontId="18" fillId="3" borderId="23" xfId="2" applyFont="1" applyFill="1" applyBorder="1" applyAlignment="1" applyProtection="1">
      <alignment horizontal="center" vertical="center" wrapText="1"/>
    </xf>
    <xf numFmtId="9" fontId="18" fillId="3" borderId="19" xfId="2" applyFont="1" applyFill="1" applyBorder="1" applyAlignment="1" applyProtection="1">
      <alignment horizontal="center" vertical="center" wrapText="1"/>
    </xf>
    <xf numFmtId="9" fontId="18" fillId="3" borderId="24" xfId="2" applyFont="1" applyFill="1" applyBorder="1" applyAlignment="1" applyProtection="1">
      <alignment horizontal="center" vertical="center" wrapText="1"/>
    </xf>
    <xf numFmtId="9" fontId="18" fillId="3" borderId="26" xfId="2" applyFont="1" applyFill="1" applyBorder="1" applyAlignment="1" applyProtection="1">
      <alignment horizontal="center" vertical="center" wrapText="1"/>
    </xf>
    <xf numFmtId="164" fontId="18" fillId="2" borderId="23" xfId="0" applyNumberFormat="1" applyFont="1" applyFill="1" applyBorder="1" applyAlignment="1" applyProtection="1">
      <alignment horizontal="center" vertical="center" wrapText="1"/>
    </xf>
    <xf numFmtId="9" fontId="18" fillId="3" borderId="25" xfId="2" applyFont="1" applyFill="1" applyBorder="1" applyAlignment="1" applyProtection="1">
      <alignment horizontal="center" vertical="center" wrapText="1"/>
    </xf>
    <xf numFmtId="3" fontId="0" fillId="4" borderId="0" xfId="0" applyNumberFormat="1" applyFill="1"/>
    <xf numFmtId="0" fontId="47" fillId="0" borderId="0" xfId="0" applyFont="1"/>
    <xf numFmtId="171" fontId="50" fillId="4" borderId="0" xfId="2" applyNumberFormat="1" applyFont="1" applyFill="1" applyAlignment="1">
      <alignment vertical="center"/>
    </xf>
    <xf numFmtId="10" fontId="13" fillId="3" borderId="1" xfId="2" applyNumberFormat="1" applyFont="1" applyFill="1" applyBorder="1" applyAlignment="1" applyProtection="1">
      <alignment horizontal="right" vertical="center"/>
    </xf>
    <xf numFmtId="3" fontId="48" fillId="0" borderId="0" xfId="0" applyNumberFormat="1" applyFont="1" applyAlignment="1">
      <alignment vertical="center"/>
    </xf>
    <xf numFmtId="2" fontId="40" fillId="3" borderId="0" xfId="2" applyNumberFormat="1" applyFont="1" applyFill="1" applyBorder="1" applyAlignment="1" applyProtection="1">
      <alignment horizontal="right" vertical="center"/>
    </xf>
    <xf numFmtId="2" fontId="40" fillId="3" borderId="0" xfId="2" applyNumberFormat="1" applyFont="1" applyFill="1" applyBorder="1" applyAlignment="1" applyProtection="1">
      <alignment horizontal="right" vertical="center" wrapText="1"/>
    </xf>
    <xf numFmtId="2" fontId="21" fillId="3" borderId="0" xfId="2" applyNumberFormat="1" applyFont="1" applyFill="1" applyBorder="1" applyAlignment="1" applyProtection="1">
      <alignment horizontal="right" vertical="center"/>
    </xf>
    <xf numFmtId="2" fontId="18" fillId="3" borderId="0" xfId="2" applyNumberFormat="1" applyFont="1" applyFill="1" applyBorder="1" applyAlignment="1" applyProtection="1">
      <alignment horizontal="right" vertical="center"/>
    </xf>
    <xf numFmtId="0" fontId="18" fillId="3" borderId="17" xfId="0" applyFont="1" applyFill="1" applyBorder="1" applyAlignment="1" applyProtection="1">
      <alignment vertical="center"/>
    </xf>
    <xf numFmtId="0" fontId="18" fillId="3" borderId="11" xfId="0" applyFont="1" applyFill="1" applyBorder="1" applyAlignment="1" applyProtection="1">
      <alignment vertical="center"/>
    </xf>
    <xf numFmtId="166" fontId="12" fillId="0" borderId="2" xfId="1" applyNumberFormat="1" applyFont="1" applyFill="1" applyBorder="1" applyAlignment="1" applyProtection="1">
      <alignment vertical="center"/>
    </xf>
    <xf numFmtId="167" fontId="0" fillId="0" borderId="0" xfId="2" applyNumberFormat="1" applyFont="1"/>
    <xf numFmtId="166" fontId="12" fillId="0" borderId="28" xfId="1" applyNumberFormat="1" applyFont="1" applyFill="1" applyBorder="1" applyAlignment="1" applyProtection="1">
      <alignment vertical="center"/>
    </xf>
    <xf numFmtId="165" fontId="18" fillId="0" borderId="0" xfId="1" applyNumberFormat="1" applyFont="1" applyFill="1" applyBorder="1" applyAlignment="1" applyProtection="1">
      <alignment vertical="center"/>
    </xf>
    <xf numFmtId="164" fontId="11" fillId="5" borderId="0" xfId="0" applyNumberFormat="1" applyFont="1" applyFill="1" applyBorder="1" applyAlignment="1" applyProtection="1">
      <alignment horizontal="center" vertical="center"/>
    </xf>
    <xf numFmtId="164" fontId="18" fillId="2" borderId="5" xfId="0" applyNumberFormat="1" applyFont="1" applyFill="1" applyBorder="1" applyAlignment="1" applyProtection="1">
      <alignment horizontal="center" vertical="center" wrapText="1"/>
    </xf>
    <xf numFmtId="0" fontId="19" fillId="3" borderId="0" xfId="0" applyFont="1" applyFill="1" applyBorder="1" applyAlignment="1" applyProtection="1">
      <alignment horizontal="right" vertical="center" wrapText="1"/>
    </xf>
    <xf numFmtId="10" fontId="18" fillId="3" borderId="5" xfId="2" applyNumberFormat="1" applyFont="1" applyFill="1" applyBorder="1" applyAlignment="1" applyProtection="1">
      <alignment horizontal="center" vertical="center" wrapText="1"/>
    </xf>
    <xf numFmtId="2" fontId="18" fillId="3" borderId="5" xfId="0" applyNumberFormat="1" applyFont="1" applyFill="1" applyBorder="1" applyAlignment="1" applyProtection="1">
      <alignment horizontal="center" vertical="center" wrapText="1"/>
    </xf>
    <xf numFmtId="164" fontId="18" fillId="2" borderId="19" xfId="0" applyNumberFormat="1" applyFont="1" applyFill="1" applyBorder="1" applyAlignment="1" applyProtection="1">
      <alignment horizontal="center" vertical="center" wrapText="1"/>
    </xf>
    <xf numFmtId="10" fontId="18" fillId="3" borderId="19" xfId="2" applyNumberFormat="1" applyFont="1" applyFill="1" applyBorder="1" applyAlignment="1" applyProtection="1">
      <alignment horizontal="center" vertical="center" wrapText="1"/>
    </xf>
    <xf numFmtId="2" fontId="18" fillId="3" borderId="19" xfId="0" applyNumberFormat="1" applyFont="1" applyFill="1" applyBorder="1" applyAlignment="1" applyProtection="1">
      <alignment horizontal="center" vertical="center" wrapText="1"/>
    </xf>
    <xf numFmtId="2" fontId="18" fillId="3" borderId="31" xfId="0" applyNumberFormat="1" applyFont="1" applyFill="1" applyBorder="1" applyAlignment="1" applyProtection="1">
      <alignment horizontal="center" vertical="center" wrapText="1"/>
    </xf>
    <xf numFmtId="2" fontId="18" fillId="3" borderId="24" xfId="0" applyNumberFormat="1" applyFont="1" applyFill="1" applyBorder="1" applyAlignment="1" applyProtection="1">
      <alignment horizontal="center" vertical="center" wrapText="1"/>
    </xf>
    <xf numFmtId="9" fontId="18" fillId="3" borderId="5" xfId="2" applyFont="1" applyFill="1" applyBorder="1" applyAlignment="1" applyProtection="1">
      <alignment horizontal="center" vertical="center" wrapText="1"/>
    </xf>
    <xf numFmtId="9" fontId="18" fillId="3" borderId="31" xfId="2" applyFont="1" applyFill="1" applyBorder="1" applyAlignment="1" applyProtection="1">
      <alignment horizontal="center" vertical="center" wrapText="1"/>
    </xf>
    <xf numFmtId="175" fontId="18" fillId="7" borderId="19" xfId="0" applyNumberFormat="1" applyFont="1" applyFill="1" applyBorder="1" applyAlignment="1" applyProtection="1">
      <alignment horizontal="center" vertical="center" wrapText="1"/>
    </xf>
    <xf numFmtId="175" fontId="18" fillId="7" borderId="24" xfId="0" applyNumberFormat="1" applyFont="1" applyFill="1" applyBorder="1" applyAlignment="1" applyProtection="1">
      <alignment horizontal="center" vertical="center" wrapText="1"/>
    </xf>
    <xf numFmtId="3" fontId="19" fillId="3" borderId="1" xfId="2" applyNumberFormat="1" applyFont="1" applyFill="1" applyBorder="1" applyAlignment="1" applyProtection="1">
      <alignment horizontal="right" vertical="center"/>
      <protection hidden="1"/>
    </xf>
    <xf numFmtId="3" fontId="19" fillId="3" borderId="1" xfId="2" applyNumberFormat="1" applyFont="1" applyFill="1" applyBorder="1" applyAlignment="1" applyProtection="1">
      <alignment horizontal="right"/>
      <protection hidden="1"/>
    </xf>
    <xf numFmtId="10" fontId="19" fillId="3" borderId="1" xfId="2" applyNumberFormat="1" applyFont="1" applyFill="1" applyBorder="1" applyAlignment="1" applyProtection="1">
      <alignment horizontal="right"/>
      <protection hidden="1"/>
    </xf>
    <xf numFmtId="10" fontId="19" fillId="4" borderId="0" xfId="2" applyNumberFormat="1" applyFont="1" applyFill="1" applyBorder="1" applyAlignment="1" applyProtection="1">
      <alignment horizontal="right"/>
      <protection hidden="1"/>
    </xf>
    <xf numFmtId="3" fontId="19" fillId="4" borderId="0" xfId="2" applyNumberFormat="1" applyFont="1" applyFill="1" applyBorder="1" applyAlignment="1" applyProtection="1">
      <alignment horizontal="right" vertical="center"/>
      <protection hidden="1"/>
    </xf>
    <xf numFmtId="3" fontId="13" fillId="3" borderId="1" xfId="2" applyNumberFormat="1" applyFont="1" applyFill="1" applyBorder="1" applyAlignment="1" applyProtection="1">
      <alignment horizontal="right" vertical="center"/>
      <protection hidden="1"/>
    </xf>
    <xf numFmtId="3" fontId="13" fillId="4" borderId="0" xfId="2" applyNumberFormat="1" applyFont="1" applyFill="1" applyBorder="1" applyAlignment="1" applyProtection="1">
      <alignment horizontal="right" vertical="center"/>
      <protection hidden="1"/>
    </xf>
    <xf numFmtId="3" fontId="13" fillId="3" borderId="0" xfId="2" applyNumberFormat="1" applyFont="1" applyFill="1" applyBorder="1" applyAlignment="1" applyProtection="1">
      <alignment horizontal="right" vertical="center"/>
      <protection hidden="1"/>
    </xf>
    <xf numFmtId="3" fontId="18" fillId="3" borderId="0" xfId="2" applyNumberFormat="1" applyFont="1" applyFill="1" applyBorder="1" applyAlignment="1" applyProtection="1">
      <alignment horizontal="right" vertical="center"/>
      <protection hidden="1"/>
    </xf>
    <xf numFmtId="9" fontId="48" fillId="0" borderId="0" xfId="2" applyNumberFormat="1" applyFont="1" applyFill="1" applyBorder="1" applyAlignment="1" applyProtection="1">
      <alignment horizontal="right" vertical="center"/>
      <protection hidden="1"/>
    </xf>
    <xf numFmtId="164" fontId="12" fillId="2" borderId="0" xfId="0" applyNumberFormat="1" applyFont="1" applyFill="1" applyBorder="1" applyAlignment="1" applyProtection="1">
      <alignment horizontal="right" vertical="center"/>
      <protection hidden="1"/>
    </xf>
    <xf numFmtId="9" fontId="13" fillId="3" borderId="1" xfId="2" applyNumberFormat="1" applyFont="1" applyFill="1" applyBorder="1" applyAlignment="1" applyProtection="1">
      <alignment horizontal="right" vertical="center"/>
      <protection hidden="1"/>
    </xf>
    <xf numFmtId="9" fontId="13" fillId="4" borderId="0" xfId="2" applyFont="1" applyFill="1" applyBorder="1" applyAlignment="1" applyProtection="1">
      <alignment horizontal="right" vertical="center"/>
      <protection hidden="1"/>
    </xf>
    <xf numFmtId="9" fontId="12" fillId="2" borderId="0" xfId="2" applyFont="1" applyFill="1" applyBorder="1" applyAlignment="1" applyProtection="1">
      <alignment vertical="center"/>
      <protection hidden="1"/>
    </xf>
    <xf numFmtId="9" fontId="36" fillId="0" borderId="0" xfId="2" applyNumberFormat="1" applyFont="1" applyFill="1" applyBorder="1" applyAlignment="1" applyProtection="1">
      <alignment horizontal="right" vertical="center"/>
      <protection hidden="1"/>
    </xf>
    <xf numFmtId="9" fontId="13" fillId="2" borderId="1" xfId="2" applyNumberFormat="1" applyFont="1" applyFill="1" applyBorder="1" applyAlignment="1" applyProtection="1">
      <alignment horizontal="right" vertical="center"/>
      <protection hidden="1"/>
    </xf>
    <xf numFmtId="9" fontId="13" fillId="4" borderId="0" xfId="2" applyNumberFormat="1" applyFont="1" applyFill="1" applyBorder="1" applyAlignment="1" applyProtection="1">
      <alignment horizontal="right" vertical="center"/>
      <protection hidden="1"/>
    </xf>
    <xf numFmtId="0" fontId="13" fillId="0" borderId="0" xfId="0" applyFont="1" applyBorder="1" applyAlignment="1" applyProtection="1">
      <alignment vertical="center"/>
      <protection hidden="1"/>
    </xf>
    <xf numFmtId="3" fontId="13" fillId="3" borderId="1" xfId="2" applyNumberFormat="1" applyFont="1" applyFill="1" applyBorder="1" applyAlignment="1" applyProtection="1">
      <alignment vertical="center"/>
      <protection hidden="1"/>
    </xf>
    <xf numFmtId="3" fontId="19" fillId="3" borderId="1" xfId="2" applyNumberFormat="1" applyFont="1" applyFill="1" applyBorder="1" applyAlignment="1" applyProtection="1">
      <alignment vertical="center"/>
      <protection hidden="1"/>
    </xf>
    <xf numFmtId="3" fontId="13" fillId="4" borderId="0" xfId="2" applyNumberFormat="1" applyFont="1" applyFill="1" applyBorder="1" applyAlignment="1" applyProtection="1">
      <alignment vertical="center"/>
      <protection hidden="1"/>
    </xf>
    <xf numFmtId="3" fontId="21" fillId="3" borderId="1" xfId="2" applyNumberFormat="1" applyFont="1" applyFill="1" applyBorder="1" applyAlignment="1" applyProtection="1">
      <alignment horizontal="right" vertical="center" wrapText="1"/>
      <protection hidden="1"/>
    </xf>
    <xf numFmtId="3" fontId="13" fillId="3" borderId="1" xfId="2" applyNumberFormat="1" applyFont="1" applyFill="1" applyBorder="1" applyAlignment="1" applyProtection="1">
      <alignment horizontal="right" vertical="center" wrapText="1"/>
      <protection hidden="1"/>
    </xf>
    <xf numFmtId="2" fontId="21" fillId="3" borderId="1" xfId="2" applyNumberFormat="1" applyFont="1" applyFill="1" applyBorder="1" applyAlignment="1" applyProtection="1">
      <alignment horizontal="right" vertical="center"/>
      <protection hidden="1"/>
    </xf>
    <xf numFmtId="2" fontId="40" fillId="3" borderId="1" xfId="2" applyNumberFormat="1" applyFont="1" applyFill="1" applyBorder="1" applyAlignment="1" applyProtection="1">
      <alignment horizontal="right" vertical="center"/>
      <protection hidden="1"/>
    </xf>
    <xf numFmtId="2" fontId="13" fillId="3" borderId="1" xfId="2" applyNumberFormat="1" applyFont="1" applyFill="1" applyBorder="1" applyAlignment="1" applyProtection="1">
      <alignment horizontal="right" vertical="center"/>
      <protection hidden="1"/>
    </xf>
    <xf numFmtId="2" fontId="13" fillId="3" borderId="0" xfId="2" applyNumberFormat="1" applyFont="1" applyFill="1" applyBorder="1" applyAlignment="1" applyProtection="1">
      <alignment horizontal="right" vertical="center"/>
      <protection hidden="1"/>
    </xf>
    <xf numFmtId="2" fontId="21" fillId="3" borderId="18" xfId="2" applyNumberFormat="1" applyFont="1" applyFill="1" applyBorder="1" applyAlignment="1" applyProtection="1">
      <alignment horizontal="right" vertical="center"/>
      <protection hidden="1"/>
    </xf>
    <xf numFmtId="2" fontId="40" fillId="3" borderId="0" xfId="2" applyNumberFormat="1" applyFont="1" applyFill="1" applyBorder="1" applyAlignment="1" applyProtection="1">
      <alignment horizontal="right" vertical="center"/>
      <protection hidden="1"/>
    </xf>
    <xf numFmtId="2" fontId="18" fillId="3" borderId="1" xfId="2" applyNumberFormat="1" applyFont="1" applyFill="1" applyBorder="1" applyAlignment="1" applyProtection="1">
      <alignment horizontal="right" vertical="center"/>
      <protection hidden="1"/>
    </xf>
    <xf numFmtId="3" fontId="13" fillId="6" borderId="1" xfId="2" applyNumberFormat="1" applyFont="1" applyFill="1" applyBorder="1" applyAlignment="1" applyProtection="1">
      <alignment horizontal="right" vertical="center"/>
      <protection locked="0"/>
    </xf>
    <xf numFmtId="3" fontId="21" fillId="2" borderId="1" xfId="2" applyNumberFormat="1" applyFont="1" applyFill="1" applyBorder="1" applyAlignment="1" applyProtection="1">
      <alignment horizontal="right" vertical="center"/>
    </xf>
    <xf numFmtId="3" fontId="21" fillId="6" borderId="1" xfId="2" applyNumberFormat="1" applyFont="1" applyFill="1" applyBorder="1" applyAlignment="1" applyProtection="1">
      <alignment horizontal="right" vertical="center"/>
      <protection locked="0"/>
    </xf>
    <xf numFmtId="3" fontId="19" fillId="6" borderId="1" xfId="2" applyNumberFormat="1" applyFont="1" applyFill="1" applyBorder="1" applyAlignment="1" applyProtection="1">
      <alignment horizontal="right" vertical="center"/>
      <protection locked="0"/>
    </xf>
    <xf numFmtId="10" fontId="19" fillId="6" borderId="1" xfId="2" applyNumberFormat="1" applyFont="1" applyFill="1" applyBorder="1" applyAlignment="1" applyProtection="1">
      <alignment horizontal="right" vertical="center"/>
      <protection locked="0"/>
    </xf>
    <xf numFmtId="3" fontId="13" fillId="6" borderId="1" xfId="2" applyNumberFormat="1" applyFont="1" applyFill="1" applyBorder="1" applyAlignment="1" applyProtection="1">
      <alignment horizontal="right" vertical="center" wrapText="1"/>
      <protection locked="0"/>
    </xf>
    <xf numFmtId="2" fontId="21" fillId="3" borderId="1" xfId="2" applyNumberFormat="1" applyFont="1" applyFill="1" applyBorder="1" applyAlignment="1" applyProtection="1">
      <alignment horizontal="right" vertical="center"/>
      <protection locked="0"/>
    </xf>
    <xf numFmtId="2" fontId="21" fillId="3" borderId="18" xfId="2" applyNumberFormat="1" applyFont="1" applyFill="1" applyBorder="1" applyAlignment="1" applyProtection="1">
      <alignment horizontal="right" vertical="center"/>
      <protection locked="0"/>
    </xf>
    <xf numFmtId="2" fontId="18" fillId="3" borderId="1" xfId="2" applyNumberFormat="1" applyFont="1" applyFill="1" applyBorder="1" applyAlignment="1" applyProtection="1">
      <alignment horizontal="right" vertical="center"/>
      <protection locked="0"/>
    </xf>
    <xf numFmtId="2" fontId="40" fillId="3" borderId="1" xfId="2" applyNumberFormat="1" applyFont="1" applyFill="1" applyBorder="1" applyAlignment="1" applyProtection="1">
      <alignment horizontal="right" vertical="center"/>
      <protection locked="0"/>
    </xf>
    <xf numFmtId="10" fontId="13" fillId="6" borderId="1" xfId="2" applyNumberFormat="1" applyFont="1" applyFill="1" applyBorder="1" applyAlignment="1" applyProtection="1">
      <alignment horizontal="right" vertical="center"/>
      <protection locked="0"/>
    </xf>
    <xf numFmtId="0" fontId="18" fillId="3" borderId="34" xfId="0" applyFont="1" applyFill="1" applyBorder="1" applyAlignment="1" applyProtection="1">
      <alignment vertical="center"/>
    </xf>
    <xf numFmtId="164" fontId="11" fillId="5" borderId="0" xfId="0" applyNumberFormat="1" applyFont="1" applyFill="1" applyBorder="1" applyAlignment="1" applyProtection="1">
      <alignment horizontal="center" vertical="center"/>
    </xf>
    <xf numFmtId="0" fontId="52" fillId="0" borderId="0" xfId="0" applyFont="1" applyAlignment="1">
      <alignment horizontal="center" vertical="center"/>
    </xf>
    <xf numFmtId="0" fontId="20" fillId="4" borderId="0" xfId="3" applyFont="1" applyFill="1" applyAlignment="1">
      <alignment horizontal="left" vertical="center" wrapText="1"/>
    </xf>
    <xf numFmtId="0" fontId="17" fillId="4" borderId="0" xfId="3" applyFont="1" applyFill="1" applyAlignment="1">
      <alignment horizontal="left" vertical="center" wrapText="1"/>
    </xf>
    <xf numFmtId="164" fontId="12" fillId="2" borderId="0" xfId="0" applyNumberFormat="1" applyFont="1" applyFill="1" applyBorder="1" applyAlignment="1" applyProtection="1">
      <alignment horizontal="center" vertical="center" wrapText="1"/>
    </xf>
    <xf numFmtId="0" fontId="20" fillId="4" borderId="0" xfId="3" applyFont="1" applyFill="1" applyAlignment="1">
      <alignment horizontal="left" vertical="center" wrapText="1"/>
    </xf>
    <xf numFmtId="0" fontId="17" fillId="4" borderId="0" xfId="3" applyFont="1" applyFill="1" applyAlignment="1">
      <alignment horizontal="left" vertical="center" wrapText="1"/>
    </xf>
    <xf numFmtId="164" fontId="12" fillId="4" borderId="0" xfId="0" applyNumberFormat="1" applyFont="1" applyFill="1" applyBorder="1" applyAlignment="1" applyProtection="1">
      <alignment horizontal="center" vertical="center" wrapText="1"/>
    </xf>
    <xf numFmtId="167" fontId="18" fillId="4" borderId="0" xfId="2" applyNumberFormat="1" applyFont="1" applyFill="1" applyBorder="1" applyAlignment="1" applyProtection="1">
      <alignment horizontal="right" vertical="center" wrapText="1"/>
      <protection hidden="1"/>
    </xf>
    <xf numFmtId="167" fontId="21" fillId="4" borderId="0" xfId="2" applyNumberFormat="1" applyFont="1" applyFill="1" applyBorder="1" applyAlignment="1" applyProtection="1">
      <alignment horizontal="right" vertical="center" wrapText="1"/>
    </xf>
    <xf numFmtId="167" fontId="49" fillId="4" borderId="0" xfId="2" applyNumberFormat="1" applyFont="1" applyFill="1" applyBorder="1" applyAlignment="1" applyProtection="1">
      <alignment horizontal="right" vertical="center" wrapText="1"/>
    </xf>
    <xf numFmtId="167" fontId="18" fillId="3" borderId="3" xfId="2" applyNumberFormat="1" applyFont="1" applyFill="1" applyBorder="1" applyAlignment="1" applyProtection="1">
      <alignment horizontal="right" vertical="center" wrapText="1"/>
    </xf>
    <xf numFmtId="167" fontId="40" fillId="3" borderId="3" xfId="2" applyNumberFormat="1" applyFont="1" applyFill="1" applyBorder="1" applyAlignment="1" applyProtection="1">
      <alignment horizontal="right" vertical="center" wrapText="1"/>
    </xf>
    <xf numFmtId="167" fontId="40" fillId="3" borderId="0" xfId="2" applyNumberFormat="1" applyFont="1" applyFill="1" applyBorder="1" applyAlignment="1" applyProtection="1">
      <alignment horizontal="right" vertical="center" wrapText="1"/>
    </xf>
    <xf numFmtId="167" fontId="18" fillId="3" borderId="35" xfId="2" applyNumberFormat="1" applyFont="1" applyFill="1" applyBorder="1" applyAlignment="1" applyProtection="1">
      <alignment horizontal="right" vertical="center" wrapText="1"/>
    </xf>
    <xf numFmtId="3" fontId="19" fillId="4" borderId="0" xfId="0" applyNumberFormat="1" applyFont="1" applyFill="1" applyBorder="1"/>
    <xf numFmtId="0" fontId="2" fillId="4" borderId="0" xfId="0" applyFont="1" applyFill="1" applyBorder="1"/>
    <xf numFmtId="171" fontId="19" fillId="4" borderId="0" xfId="2" applyNumberFormat="1" applyFont="1" applyFill="1" applyBorder="1"/>
    <xf numFmtId="171" fontId="19" fillId="4" borderId="0" xfId="0" applyNumberFormat="1" applyFont="1" applyFill="1" applyBorder="1"/>
    <xf numFmtId="164" fontId="12" fillId="2" borderId="11" xfId="0" applyNumberFormat="1" applyFont="1" applyFill="1" applyBorder="1" applyAlignment="1" applyProtection="1">
      <alignment horizontal="center" vertical="center" wrapText="1"/>
    </xf>
    <xf numFmtId="164" fontId="12" fillId="2" borderId="0" xfId="0" applyNumberFormat="1" applyFont="1" applyFill="1" applyBorder="1" applyAlignment="1" applyProtection="1">
      <alignment horizontal="center" vertical="center" wrapText="1"/>
    </xf>
    <xf numFmtId="164" fontId="18" fillId="2" borderId="5" xfId="0" applyNumberFormat="1" applyFont="1" applyFill="1" applyBorder="1" applyAlignment="1" applyProtection="1">
      <alignment horizontal="center" vertical="center" wrapText="1"/>
    </xf>
    <xf numFmtId="164" fontId="18" fillId="2" borderId="1" xfId="0" applyNumberFormat="1" applyFont="1" applyFill="1" applyBorder="1" applyAlignment="1" applyProtection="1">
      <alignment horizontal="center" vertical="center" wrapText="1"/>
    </xf>
    <xf numFmtId="178" fontId="49" fillId="4" borderId="0" xfId="2" applyNumberFormat="1" applyFont="1" applyFill="1" applyBorder="1" applyAlignment="1" applyProtection="1">
      <alignment horizontal="right" vertical="center" wrapText="1"/>
    </xf>
    <xf numFmtId="178" fontId="53" fillId="4" borderId="0" xfId="2" applyNumberFormat="1" applyFont="1" applyFill="1" applyBorder="1" applyAlignment="1" applyProtection="1">
      <alignment horizontal="right" vertical="center" wrapText="1"/>
    </xf>
    <xf numFmtId="164" fontId="18" fillId="2" borderId="3" xfId="0" applyNumberFormat="1" applyFont="1" applyFill="1" applyBorder="1" applyAlignment="1" applyProtection="1">
      <alignment horizontal="center" vertical="center" wrapText="1"/>
    </xf>
    <xf numFmtId="164" fontId="18" fillId="2" borderId="5" xfId="0" applyNumberFormat="1" applyFont="1" applyFill="1" applyBorder="1" applyAlignment="1" applyProtection="1">
      <alignment horizontal="center" vertical="center" wrapText="1"/>
    </xf>
    <xf numFmtId="0" fontId="18" fillId="3" borderId="8" xfId="0" applyFont="1" applyFill="1" applyBorder="1" applyAlignment="1" applyProtection="1">
      <alignment horizontal="left" vertical="center"/>
    </xf>
    <xf numFmtId="2" fontId="13" fillId="3" borderId="1" xfId="2" applyNumberFormat="1" applyFont="1" applyFill="1" applyBorder="1" applyAlignment="1" applyProtection="1">
      <alignment horizontal="right" vertical="center"/>
    </xf>
    <xf numFmtId="166" fontId="42" fillId="0" borderId="21" xfId="1" applyNumberFormat="1" applyFont="1" applyFill="1" applyBorder="1" applyAlignment="1" applyProtection="1">
      <alignment vertical="center"/>
    </xf>
    <xf numFmtId="2" fontId="40" fillId="3" borderId="27" xfId="2" applyNumberFormat="1" applyFont="1" applyFill="1" applyBorder="1" applyAlignment="1" applyProtection="1">
      <alignment horizontal="right" vertical="center"/>
    </xf>
    <xf numFmtId="2" fontId="18" fillId="3" borderId="27" xfId="2" applyNumberFormat="1" applyFont="1" applyFill="1" applyBorder="1" applyAlignment="1" applyProtection="1">
      <alignment horizontal="right" vertical="center"/>
    </xf>
    <xf numFmtId="167" fontId="18" fillId="3" borderId="19" xfId="2" applyNumberFormat="1" applyFont="1" applyFill="1" applyBorder="1" applyAlignment="1" applyProtection="1">
      <alignment horizontal="right" vertical="center" wrapText="1"/>
    </xf>
    <xf numFmtId="167" fontId="40" fillId="3" borderId="19" xfId="2" applyNumberFormat="1" applyFont="1" applyFill="1" applyBorder="1" applyAlignment="1" applyProtection="1">
      <alignment horizontal="right" vertical="center" wrapText="1"/>
    </xf>
    <xf numFmtId="167" fontId="18" fillId="3" borderId="39" xfId="2" applyNumberFormat="1" applyFont="1" applyFill="1" applyBorder="1" applyAlignment="1" applyProtection="1">
      <alignment horizontal="right" vertical="center" wrapText="1"/>
    </xf>
    <xf numFmtId="164" fontId="12" fillId="2" borderId="2" xfId="0" applyNumberFormat="1" applyFont="1" applyFill="1" applyBorder="1" applyAlignment="1" applyProtection="1">
      <alignment horizontal="center" vertical="center" wrapText="1"/>
    </xf>
    <xf numFmtId="164" fontId="12" fillId="2" borderId="43" xfId="0" applyNumberFormat="1" applyFont="1" applyFill="1" applyBorder="1" applyAlignment="1" applyProtection="1">
      <alignment horizontal="center" vertical="center" wrapText="1"/>
    </xf>
    <xf numFmtId="164" fontId="12" fillId="2" borderId="44" xfId="0" applyNumberFormat="1" applyFont="1" applyFill="1" applyBorder="1" applyAlignment="1" applyProtection="1">
      <alignment horizontal="center" vertical="center" wrapText="1"/>
    </xf>
    <xf numFmtId="2" fontId="18" fillId="3" borderId="20" xfId="2" applyNumberFormat="1" applyFont="1" applyFill="1" applyBorder="1" applyAlignment="1" applyProtection="1">
      <alignment horizontal="right" vertical="center"/>
    </xf>
    <xf numFmtId="2" fontId="40" fillId="3" borderId="11" xfId="2" applyNumberFormat="1" applyFont="1" applyFill="1" applyBorder="1" applyAlignment="1" applyProtection="1">
      <alignment horizontal="right" vertical="center"/>
    </xf>
    <xf numFmtId="167" fontId="40" fillId="3" borderId="38" xfId="2" applyNumberFormat="1" applyFont="1" applyFill="1" applyBorder="1" applyAlignment="1" applyProtection="1">
      <alignment horizontal="right" vertical="center" wrapText="1"/>
    </xf>
    <xf numFmtId="2" fontId="21" fillId="3" borderId="38" xfId="2" applyNumberFormat="1" applyFont="1" applyFill="1" applyBorder="1" applyAlignment="1" applyProtection="1">
      <alignment horizontal="right" vertical="center"/>
    </xf>
    <xf numFmtId="3" fontId="35" fillId="4" borderId="0" xfId="0" applyNumberFormat="1" applyFont="1" applyFill="1"/>
    <xf numFmtId="178" fontId="53" fillId="4" borderId="0" xfId="2" applyNumberFormat="1" applyFont="1" applyFill="1" applyBorder="1" applyAlignment="1" applyProtection="1">
      <alignment horizontal="left" vertical="center"/>
    </xf>
    <xf numFmtId="3" fontId="13" fillId="6" borderId="1" xfId="2" applyNumberFormat="1" applyFont="1" applyFill="1" applyBorder="1" applyAlignment="1" applyProtection="1">
      <alignment vertical="center"/>
      <protection locked="0"/>
    </xf>
    <xf numFmtId="3" fontId="35" fillId="0" borderId="0" xfId="0" applyNumberFormat="1" applyFont="1"/>
    <xf numFmtId="179" fontId="0" fillId="0" borderId="0" xfId="0" applyNumberFormat="1"/>
    <xf numFmtId="0" fontId="19" fillId="4" borderId="0" xfId="0" applyNumberFormat="1" applyFont="1" applyFill="1" applyBorder="1" applyAlignment="1" applyProtection="1">
      <alignment horizontal="left" vertical="center"/>
    </xf>
    <xf numFmtId="0" fontId="19" fillId="4" borderId="0" xfId="0" applyFont="1" applyFill="1" applyBorder="1" applyAlignment="1" applyProtection="1">
      <alignment vertical="center"/>
    </xf>
    <xf numFmtId="0" fontId="19" fillId="3" borderId="8" xfId="0" applyFont="1" applyFill="1" applyBorder="1" applyAlignment="1" applyProtection="1">
      <alignment horizontal="right" vertical="center"/>
    </xf>
    <xf numFmtId="2" fontId="18" fillId="7" borderId="41" xfId="0" applyNumberFormat="1" applyFont="1" applyFill="1" applyBorder="1" applyAlignment="1" applyProtection="1">
      <alignment horizontal="center" vertical="center" wrapText="1"/>
    </xf>
    <xf numFmtId="10" fontId="18" fillId="3" borderId="4" xfId="2" applyNumberFormat="1" applyFont="1" applyFill="1" applyBorder="1" applyAlignment="1" applyProtection="1">
      <alignment horizontal="center" vertical="center" wrapText="1"/>
    </xf>
    <xf numFmtId="2" fontId="18" fillId="3" borderId="4" xfId="0" applyNumberFormat="1" applyFont="1" applyFill="1" applyBorder="1" applyAlignment="1" applyProtection="1">
      <alignment horizontal="center" vertical="center" wrapText="1"/>
    </xf>
    <xf numFmtId="2" fontId="18" fillId="3" borderId="46" xfId="0" applyNumberFormat="1" applyFont="1" applyFill="1" applyBorder="1" applyAlignment="1" applyProtection="1">
      <alignment horizontal="center" vertical="center" wrapText="1"/>
    </xf>
    <xf numFmtId="10" fontId="18" fillId="3" borderId="23" xfId="2" applyNumberFormat="1" applyFont="1" applyFill="1" applyBorder="1" applyAlignment="1" applyProtection="1">
      <alignment horizontal="center" vertical="center" wrapText="1"/>
    </xf>
    <xf numFmtId="2" fontId="18" fillId="3" borderId="23" xfId="0" applyNumberFormat="1" applyFont="1" applyFill="1" applyBorder="1" applyAlignment="1" applyProtection="1">
      <alignment horizontal="center" vertical="center" wrapText="1"/>
    </xf>
    <xf numFmtId="2" fontId="18" fillId="3" borderId="25" xfId="0" applyNumberFormat="1" applyFont="1" applyFill="1" applyBorder="1" applyAlignment="1" applyProtection="1">
      <alignment horizontal="center" vertical="center" wrapText="1"/>
    </xf>
    <xf numFmtId="9" fontId="18" fillId="3" borderId="29" xfId="2" applyFont="1" applyFill="1" applyBorder="1" applyAlignment="1" applyProtection="1">
      <alignment horizontal="center" vertical="center" wrapText="1"/>
    </xf>
    <xf numFmtId="164" fontId="18" fillId="2" borderId="41" xfId="0" applyNumberFormat="1" applyFont="1" applyFill="1" applyBorder="1" applyAlignment="1" applyProtection="1">
      <alignment horizontal="center" vertical="center" wrapText="1"/>
    </xf>
    <xf numFmtId="9" fontId="18" fillId="3" borderId="47" xfId="2" applyFont="1" applyFill="1" applyBorder="1" applyAlignment="1" applyProtection="1">
      <alignment horizontal="center" vertical="center" wrapText="1"/>
    </xf>
    <xf numFmtId="9" fontId="18" fillId="3" borderId="39" xfId="2" applyFont="1" applyFill="1" applyBorder="1" applyAlignment="1" applyProtection="1">
      <alignment horizontal="center" vertical="center" wrapText="1"/>
    </xf>
    <xf numFmtId="9" fontId="18" fillId="3" borderId="35" xfId="2" applyFont="1" applyFill="1" applyBorder="1" applyAlignment="1" applyProtection="1">
      <alignment horizontal="center" vertical="center" wrapText="1"/>
    </xf>
    <xf numFmtId="9" fontId="18" fillId="3" borderId="48" xfId="2" applyFont="1" applyFill="1" applyBorder="1" applyAlignment="1" applyProtection="1">
      <alignment horizontal="center" vertical="center" wrapText="1"/>
    </xf>
    <xf numFmtId="9" fontId="18" fillId="3" borderId="49" xfId="2" applyFont="1" applyFill="1" applyBorder="1" applyAlignment="1" applyProtection="1">
      <alignment horizontal="center" vertical="center" wrapText="1"/>
    </xf>
    <xf numFmtId="9" fontId="18" fillId="3" borderId="39" xfId="2" applyNumberFormat="1" applyFont="1" applyFill="1" applyBorder="1" applyAlignment="1" applyProtection="1">
      <alignment horizontal="center" vertical="center" wrapText="1"/>
    </xf>
    <xf numFmtId="9" fontId="18" fillId="3" borderId="35" xfId="2" applyNumberFormat="1" applyFont="1" applyFill="1" applyBorder="1" applyAlignment="1" applyProtection="1">
      <alignment horizontal="center" vertical="center" wrapText="1"/>
    </xf>
    <xf numFmtId="9" fontId="18" fillId="3" borderId="48" xfId="2" applyNumberFormat="1" applyFont="1" applyFill="1" applyBorder="1" applyAlignment="1" applyProtection="1">
      <alignment horizontal="center" vertical="center" wrapText="1"/>
    </xf>
    <xf numFmtId="9" fontId="18" fillId="3" borderId="49" xfId="2" applyNumberFormat="1" applyFont="1" applyFill="1" applyBorder="1" applyAlignment="1" applyProtection="1">
      <alignment horizontal="center" vertical="center" wrapText="1"/>
    </xf>
    <xf numFmtId="9" fontId="18" fillId="3" borderId="3" xfId="2" applyNumberFormat="1" applyFont="1" applyFill="1" applyBorder="1" applyAlignment="1" applyProtection="1">
      <alignment horizontal="center" vertical="center" wrapText="1"/>
    </xf>
    <xf numFmtId="2" fontId="0" fillId="0" borderId="0" xfId="0" applyNumberFormat="1"/>
    <xf numFmtId="180" fontId="0" fillId="4" borderId="0" xfId="0" applyNumberFormat="1" applyFill="1"/>
    <xf numFmtId="181" fontId="0" fillId="0" borderId="0" xfId="0" applyNumberFormat="1"/>
    <xf numFmtId="4" fontId="35" fillId="0" borderId="0" xfId="0" applyNumberFormat="1" applyFont="1"/>
    <xf numFmtId="3" fontId="53" fillId="4" borderId="0" xfId="2" applyNumberFormat="1" applyFont="1" applyFill="1" applyBorder="1" applyAlignment="1" applyProtection="1">
      <alignment horizontal="right" vertical="center" wrapText="1"/>
    </xf>
    <xf numFmtId="0" fontId="40" fillId="2" borderId="21" xfId="0" applyFont="1" applyFill="1" applyBorder="1" applyAlignment="1" applyProtection="1">
      <alignment horizontal="center" vertical="center"/>
    </xf>
    <xf numFmtId="0" fontId="40" fillId="2" borderId="0" xfId="0" applyFont="1" applyFill="1" applyBorder="1" applyAlignment="1" applyProtection="1">
      <alignment horizontal="center" vertical="center"/>
    </xf>
    <xf numFmtId="164" fontId="54" fillId="2" borderId="21" xfId="0" applyNumberFormat="1" applyFont="1" applyFill="1" applyBorder="1" applyAlignment="1" applyProtection="1">
      <alignment horizontal="center" vertical="center"/>
    </xf>
    <xf numFmtId="2" fontId="40" fillId="2" borderId="0" xfId="2" applyNumberFormat="1" applyFont="1" applyFill="1" applyBorder="1" applyAlignment="1" applyProtection="1">
      <alignment horizontal="right" vertical="center"/>
      <protection hidden="1"/>
    </xf>
    <xf numFmtId="2" fontId="40" fillId="2" borderId="0" xfId="2" applyNumberFormat="1" applyFont="1" applyFill="1" applyBorder="1" applyAlignment="1" applyProtection="1">
      <alignment horizontal="right" vertical="center"/>
    </xf>
    <xf numFmtId="2" fontId="40" fillId="2" borderId="27" xfId="2" applyNumberFormat="1" applyFont="1" applyFill="1" applyBorder="1" applyAlignment="1" applyProtection="1">
      <alignment horizontal="right" vertical="center"/>
    </xf>
    <xf numFmtId="0" fontId="57" fillId="4" borderId="0" xfId="0" applyFont="1" applyFill="1"/>
    <xf numFmtId="0" fontId="47" fillId="4" borderId="0" xfId="0" applyFont="1" applyFill="1"/>
    <xf numFmtId="0" fontId="55" fillId="4" borderId="0" xfId="0" applyFont="1" applyFill="1"/>
    <xf numFmtId="0" fontId="52" fillId="0" borderId="0" xfId="0" applyFont="1" applyAlignment="1">
      <alignment horizontal="center" vertical="center" wrapText="1"/>
    </xf>
    <xf numFmtId="164" fontId="12" fillId="2" borderId="42" xfId="0" applyNumberFormat="1" applyFont="1" applyFill="1" applyBorder="1" applyAlignment="1" applyProtection="1">
      <alignment horizontal="center" vertical="center" wrapText="1"/>
    </xf>
    <xf numFmtId="164" fontId="12" fillId="2" borderId="36" xfId="0" applyNumberFormat="1" applyFont="1" applyFill="1" applyBorder="1" applyAlignment="1" applyProtection="1">
      <alignment horizontal="center" vertical="center" wrapText="1"/>
    </xf>
    <xf numFmtId="164" fontId="12" fillId="2" borderId="21" xfId="0" applyNumberFormat="1" applyFont="1" applyFill="1" applyBorder="1" applyAlignment="1" applyProtection="1">
      <alignment horizontal="center" vertical="center" wrapText="1"/>
    </xf>
    <xf numFmtId="0" fontId="32" fillId="8" borderId="0" xfId="0" applyFont="1" applyFill="1" applyBorder="1" applyAlignment="1" applyProtection="1">
      <alignment horizontal="left" vertical="center" wrapText="1"/>
    </xf>
    <xf numFmtId="164" fontId="12" fillId="2" borderId="20" xfId="0" applyNumberFormat="1" applyFont="1" applyFill="1" applyBorder="1" applyAlignment="1" applyProtection="1">
      <alignment horizontal="center" vertical="center" wrapText="1"/>
    </xf>
    <xf numFmtId="164" fontId="12" fillId="2" borderId="45" xfId="0" applyNumberFormat="1" applyFont="1" applyFill="1" applyBorder="1" applyAlignment="1" applyProtection="1">
      <alignment horizontal="center" vertical="center" wrapText="1"/>
    </xf>
    <xf numFmtId="167" fontId="34" fillId="4" borderId="17" xfId="2" applyNumberFormat="1" applyFont="1" applyFill="1" applyBorder="1" applyAlignment="1" applyProtection="1">
      <alignment horizontal="center" vertical="center" wrapText="1"/>
    </xf>
    <xf numFmtId="167" fontId="34" fillId="4" borderId="0" xfId="2" applyNumberFormat="1" applyFont="1" applyFill="1" applyBorder="1" applyAlignment="1" applyProtection="1">
      <alignment horizontal="center" vertical="center" wrapText="1"/>
    </xf>
    <xf numFmtId="3" fontId="56" fillId="0" borderId="0" xfId="0" applyNumberFormat="1" applyFont="1" applyFill="1" applyBorder="1" applyAlignment="1" applyProtection="1">
      <alignment horizontal="center" vertical="center" wrapText="1"/>
    </xf>
    <xf numFmtId="0" fontId="45" fillId="0" borderId="0" xfId="0" applyFont="1" applyAlignment="1">
      <alignment horizontal="left" vertical="center" wrapText="1"/>
    </xf>
    <xf numFmtId="0" fontId="19" fillId="4" borderId="7" xfId="0" applyFont="1" applyFill="1" applyBorder="1" applyAlignment="1" applyProtection="1">
      <alignment horizontal="right" vertical="center"/>
    </xf>
    <xf numFmtId="164" fontId="12" fillId="2" borderId="7" xfId="0" applyNumberFormat="1" applyFont="1" applyFill="1" applyBorder="1" applyAlignment="1" applyProtection="1">
      <alignment horizontal="center" vertical="center" wrapText="1"/>
    </xf>
    <xf numFmtId="0" fontId="20" fillId="4" borderId="0" xfId="3" applyFont="1" applyFill="1" applyAlignment="1">
      <alignment horizontal="left" vertical="center" wrapText="1"/>
    </xf>
    <xf numFmtId="0" fontId="17" fillId="4" borderId="0" xfId="3" applyFont="1" applyFill="1" applyAlignment="1">
      <alignment horizontal="left" vertical="center" wrapText="1"/>
    </xf>
    <xf numFmtId="164" fontId="12" fillId="2" borderId="37" xfId="0" applyNumberFormat="1" applyFont="1" applyFill="1" applyBorder="1" applyAlignment="1" applyProtection="1">
      <alignment horizontal="center" vertical="center" wrapText="1"/>
    </xf>
    <xf numFmtId="0" fontId="19" fillId="3" borderId="0" xfId="0" applyFont="1" applyFill="1" applyBorder="1" applyAlignment="1" applyProtection="1">
      <alignment horizontal="right" vertical="center" wrapText="1"/>
    </xf>
    <xf numFmtId="0" fontId="19" fillId="4" borderId="0" xfId="0" applyFont="1" applyFill="1" applyBorder="1" applyAlignment="1" applyProtection="1">
      <alignment horizontal="left" vertical="center" wrapText="1"/>
    </xf>
    <xf numFmtId="0" fontId="19" fillId="4" borderId="0" xfId="0" applyFont="1" applyFill="1" applyBorder="1" applyAlignment="1" applyProtection="1">
      <alignment horizontal="right" vertical="center"/>
    </xf>
    <xf numFmtId="164" fontId="12" fillId="2" borderId="40" xfId="0" applyNumberFormat="1" applyFont="1" applyFill="1" applyBorder="1" applyAlignment="1" applyProtection="1">
      <alignment horizontal="center" vertical="center" wrapText="1"/>
    </xf>
    <xf numFmtId="164" fontId="11" fillId="5" borderId="12" xfId="0" applyNumberFormat="1" applyFont="1" applyFill="1" applyBorder="1" applyAlignment="1" applyProtection="1">
      <alignment horizontal="center" vertical="center"/>
    </xf>
    <xf numFmtId="164" fontId="11" fillId="5" borderId="0" xfId="0" applyNumberFormat="1" applyFont="1" applyFill="1" applyBorder="1" applyAlignment="1" applyProtection="1">
      <alignment horizontal="center" vertical="center"/>
    </xf>
    <xf numFmtId="164" fontId="18" fillId="2" borderId="30" xfId="0" applyNumberFormat="1" applyFont="1" applyFill="1" applyBorder="1" applyAlignment="1" applyProtection="1">
      <alignment horizontal="center" vertical="center" wrapText="1"/>
    </xf>
    <xf numFmtId="164" fontId="18" fillId="2" borderId="32" xfId="0" applyNumberFormat="1" applyFont="1" applyFill="1" applyBorder="1" applyAlignment="1" applyProtection="1">
      <alignment horizontal="center" vertical="center" wrapText="1"/>
    </xf>
    <xf numFmtId="164" fontId="18" fillId="2" borderId="33" xfId="0" applyNumberFormat="1" applyFont="1" applyFill="1" applyBorder="1" applyAlignment="1" applyProtection="1">
      <alignment horizontal="center" vertical="center" wrapText="1"/>
    </xf>
    <xf numFmtId="164" fontId="21" fillId="2" borderId="4" xfId="0" applyNumberFormat="1" applyFont="1" applyFill="1" applyBorder="1" applyAlignment="1" applyProtection="1">
      <alignment horizontal="center" vertical="center" wrapText="1"/>
    </xf>
    <xf numFmtId="164" fontId="21" fillId="2" borderId="29" xfId="0" applyNumberFormat="1" applyFont="1" applyFill="1" applyBorder="1" applyAlignment="1" applyProtection="1">
      <alignment horizontal="center" vertical="center" wrapText="1"/>
    </xf>
    <xf numFmtId="164" fontId="21" fillId="2" borderId="13" xfId="0" applyNumberFormat="1" applyFont="1" applyFill="1" applyBorder="1" applyAlignment="1" applyProtection="1">
      <alignment horizontal="center" vertical="center" wrapText="1"/>
    </xf>
    <xf numFmtId="164" fontId="21" fillId="2" borderId="3" xfId="0" applyNumberFormat="1" applyFont="1" applyFill="1" applyBorder="1" applyAlignment="1" applyProtection="1">
      <alignment horizontal="center" vertical="center" wrapText="1"/>
    </xf>
    <xf numFmtId="164" fontId="11" fillId="5" borderId="50" xfId="0" applyNumberFormat="1" applyFont="1" applyFill="1" applyBorder="1" applyAlignment="1" applyProtection="1">
      <alignment horizontal="center" vertical="center"/>
    </xf>
    <xf numFmtId="164" fontId="11" fillId="5" borderId="51" xfId="0" applyNumberFormat="1" applyFont="1" applyFill="1" applyBorder="1" applyAlignment="1" applyProtection="1">
      <alignment horizontal="center" vertical="center"/>
    </xf>
    <xf numFmtId="164" fontId="18" fillId="2" borderId="0" xfId="0" applyNumberFormat="1" applyFont="1" applyFill="1" applyBorder="1" applyAlignment="1" applyProtection="1">
      <alignment horizontal="center" vertical="center" wrapText="1"/>
    </xf>
    <xf numFmtId="164" fontId="18" fillId="2" borderId="0" xfId="0" applyNumberFormat="1" applyFont="1" applyFill="1" applyBorder="1" applyAlignment="1" applyProtection="1">
      <alignment horizontal="left" vertical="center" wrapText="1"/>
    </xf>
    <xf numFmtId="164" fontId="18" fillId="2" borderId="3" xfId="0" applyNumberFormat="1" applyFont="1" applyFill="1" applyBorder="1" applyAlignment="1" applyProtection="1">
      <alignment horizontal="center" vertical="center" wrapText="1"/>
    </xf>
    <xf numFmtId="164" fontId="18" fillId="2" borderId="4" xfId="0" applyNumberFormat="1" applyFont="1" applyFill="1" applyBorder="1" applyAlignment="1" applyProtection="1">
      <alignment horizontal="center" vertical="center" wrapText="1"/>
    </xf>
    <xf numFmtId="164" fontId="18" fillId="2" borderId="5" xfId="0" applyNumberFormat="1" applyFont="1" applyFill="1" applyBorder="1" applyAlignment="1" applyProtection="1">
      <alignment horizontal="center" vertical="center" wrapText="1"/>
    </xf>
    <xf numFmtId="164" fontId="21" fillId="2" borderId="5" xfId="0" applyNumberFormat="1" applyFont="1" applyFill="1" applyBorder="1" applyAlignment="1" applyProtection="1">
      <alignment horizontal="center" vertical="center" wrapText="1"/>
    </xf>
    <xf numFmtId="3" fontId="21" fillId="2" borderId="3" xfId="0" applyNumberFormat="1" applyFont="1" applyFill="1" applyBorder="1" applyAlignment="1" applyProtection="1">
      <alignment horizontal="center" vertical="center" wrapText="1"/>
    </xf>
    <xf numFmtId="3" fontId="21" fillId="2" borderId="4" xfId="0" applyNumberFormat="1" applyFont="1" applyFill="1" applyBorder="1" applyAlignment="1" applyProtection="1">
      <alignment horizontal="center" vertical="center" wrapText="1"/>
    </xf>
    <xf numFmtId="3" fontId="21" fillId="2" borderId="5" xfId="0" applyNumberFormat="1" applyFont="1" applyFill="1" applyBorder="1" applyAlignment="1" applyProtection="1">
      <alignment horizontal="center" vertical="center" wrapText="1"/>
    </xf>
    <xf numFmtId="0" fontId="21" fillId="2" borderId="0" xfId="0" applyFont="1" applyFill="1" applyBorder="1" applyAlignment="1" applyProtection="1">
      <alignment horizontal="left" vertical="center"/>
    </xf>
    <xf numFmtId="164" fontId="18" fillId="2" borderId="1" xfId="0" applyNumberFormat="1" applyFont="1" applyFill="1" applyBorder="1" applyAlignment="1" applyProtection="1">
      <alignment horizontal="center" vertical="center" wrapText="1"/>
    </xf>
    <xf numFmtId="164" fontId="18" fillId="2" borderId="1" xfId="0" applyNumberFormat="1" applyFont="1" applyFill="1" applyBorder="1" applyAlignment="1" applyProtection="1">
      <alignment horizontal="center" vertical="center"/>
    </xf>
    <xf numFmtId="0" fontId="18" fillId="2" borderId="1" xfId="0" applyNumberFormat="1" applyFont="1" applyFill="1" applyBorder="1" applyAlignment="1" applyProtection="1">
      <alignment horizontal="center" vertical="center"/>
    </xf>
    <xf numFmtId="0" fontId="21" fillId="2" borderId="0" xfId="0" applyFont="1" applyFill="1" applyBorder="1" applyAlignment="1" applyProtection="1">
      <alignment horizontal="left"/>
    </xf>
    <xf numFmtId="164" fontId="11" fillId="5" borderId="52" xfId="0" applyNumberFormat="1" applyFont="1" applyFill="1" applyBorder="1" applyAlignment="1" applyProtection="1">
      <alignment horizontal="center" vertical="center"/>
    </xf>
    <xf numFmtId="164" fontId="11" fillId="5" borderId="2" xfId="0" applyNumberFormat="1" applyFont="1" applyFill="1" applyBorder="1" applyAlignment="1" applyProtection="1">
      <alignment horizontal="center" vertical="center"/>
    </xf>
    <xf numFmtId="0" fontId="21" fillId="2" borderId="0" xfId="0" applyFont="1" applyFill="1" applyBorder="1" applyAlignment="1" applyProtection="1">
      <alignment horizontal="left" vertical="center" wrapText="1"/>
    </xf>
  </cellXfs>
  <cellStyles count="14">
    <cellStyle name="Comma" xfId="1" builtinId="3"/>
    <cellStyle name="Normal" xfId="0" builtinId="0"/>
    <cellStyle name="Normal 2" xfId="5"/>
    <cellStyle name="Normal 2 2" xfId="3"/>
    <cellStyle name="Normal 2 3" xfId="8"/>
    <cellStyle name="Normal 3" xfId="6"/>
    <cellStyle name="Normal 3 2" xfId="9"/>
    <cellStyle name="Normal 4" xfId="4"/>
    <cellStyle name="Normal 5" xfId="10"/>
    <cellStyle name="Normal 6" xfId="11"/>
    <cellStyle name="Normal 7" xfId="12"/>
    <cellStyle name="Normal 8" xfId="13"/>
    <cellStyle name="Percent" xfId="2" builtinId="5"/>
    <cellStyle name="Percent 2" xfId="7"/>
  </cellStyles>
  <dxfs count="0"/>
  <tableStyles count="0" defaultTableStyle="TableStyleMedium2" defaultPivotStyle="PivotStyleMedium9"/>
  <colors>
    <mruColors>
      <color rgb="FF36609A"/>
      <color rgb="FFF5862B"/>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5"/>
  <sheetViews>
    <sheetView showGridLines="0" tabSelected="1" zoomScale="70" zoomScaleNormal="70" workbookViewId="0">
      <selection activeCell="B170" sqref="B170"/>
    </sheetView>
  </sheetViews>
  <sheetFormatPr defaultRowHeight="14.4" x14ac:dyDescent="0.3"/>
  <cols>
    <col min="1" max="1" width="0.6640625" customWidth="1"/>
    <col min="2" max="2" width="86.44140625" customWidth="1"/>
    <col min="3" max="3" width="19.21875" customWidth="1"/>
    <col min="4" max="4" width="3.33203125" customWidth="1"/>
    <col min="5" max="5" width="19" customWidth="1"/>
    <col min="6" max="9" width="15.88671875" customWidth="1"/>
    <col min="10" max="10" width="14.6640625" customWidth="1"/>
    <col min="11" max="11" width="14.77734375" customWidth="1"/>
    <col min="12" max="12" width="14.6640625" customWidth="1"/>
    <col min="13" max="13" width="13.33203125" customWidth="1"/>
    <col min="14" max="14" width="16.5546875" customWidth="1"/>
    <col min="15" max="15" width="15.5546875" customWidth="1"/>
    <col min="16" max="16" width="16.21875" customWidth="1"/>
    <col min="17" max="17" width="14.44140625" customWidth="1"/>
  </cols>
  <sheetData>
    <row r="1" spans="2:13" ht="55.2" customHeight="1" x14ac:dyDescent="0.3">
      <c r="B1" s="374" t="s">
        <v>180</v>
      </c>
      <c r="C1" s="374"/>
      <c r="D1" s="374"/>
      <c r="E1" s="374"/>
      <c r="F1" s="374"/>
      <c r="G1" s="292"/>
      <c r="H1" s="292"/>
      <c r="I1" s="292"/>
    </row>
    <row r="2" spans="2:13" ht="62.4" customHeight="1" x14ac:dyDescent="0.3">
      <c r="B2" s="387" t="s">
        <v>181</v>
      </c>
      <c r="C2" s="387"/>
      <c r="D2" s="387"/>
      <c r="E2" s="387"/>
      <c r="F2" s="387"/>
      <c r="G2" s="293"/>
      <c r="H2" s="293"/>
      <c r="I2" s="293"/>
    </row>
    <row r="3" spans="2:13" ht="33" customHeight="1" x14ac:dyDescent="0.3">
      <c r="B3" s="297" t="s">
        <v>165</v>
      </c>
      <c r="C3" s="296"/>
      <c r="D3" s="296"/>
      <c r="E3" s="296"/>
      <c r="F3" s="296"/>
      <c r="G3" s="296"/>
      <c r="H3" s="296"/>
      <c r="I3" s="296"/>
    </row>
    <row r="4" spans="2:13" ht="31.8" customHeight="1" x14ac:dyDescent="0.3">
      <c r="B4" s="388" t="s">
        <v>157</v>
      </c>
      <c r="C4" s="388"/>
      <c r="D4" s="388"/>
      <c r="E4" s="388"/>
      <c r="F4" s="388"/>
      <c r="G4" s="294"/>
      <c r="H4" s="294"/>
      <c r="I4" s="294"/>
    </row>
    <row r="5" spans="2:13" ht="21" customHeight="1" x14ac:dyDescent="0.3">
      <c r="B5" s="24" t="s">
        <v>141</v>
      </c>
      <c r="C5" s="4"/>
      <c r="D5" s="4"/>
      <c r="E5" s="4"/>
      <c r="F5" s="27"/>
      <c r="G5" s="27"/>
      <c r="H5" s="27"/>
      <c r="I5" s="27"/>
    </row>
    <row r="6" spans="2:13" ht="15" customHeight="1" x14ac:dyDescent="0.3">
      <c r="B6" s="212" t="s">
        <v>142</v>
      </c>
      <c r="C6" s="39"/>
      <c r="D6" s="3"/>
      <c r="E6" s="38"/>
      <c r="F6" s="69"/>
      <c r="G6" s="69"/>
      <c r="H6" s="69"/>
      <c r="I6" s="69"/>
    </row>
    <row r="7" spans="2:13" ht="15" customHeight="1" x14ac:dyDescent="0.3">
      <c r="B7" s="212"/>
      <c r="C7" s="39"/>
      <c r="D7" s="3"/>
      <c r="E7" s="38"/>
      <c r="F7" s="69"/>
      <c r="G7" s="69"/>
      <c r="H7" s="69"/>
      <c r="I7" s="69"/>
    </row>
    <row r="8" spans="2:13" ht="160.80000000000001" customHeight="1" x14ac:dyDescent="0.3">
      <c r="B8" s="378" t="s">
        <v>190</v>
      </c>
      <c r="C8" s="378"/>
      <c r="D8" s="3"/>
      <c r="E8" s="383" t="s">
        <v>169</v>
      </c>
      <c r="F8" s="383"/>
      <c r="G8" s="383"/>
      <c r="H8" s="383"/>
      <c r="I8" s="383"/>
    </row>
    <row r="9" spans="2:13" ht="15.6" x14ac:dyDescent="0.3">
      <c r="B9" s="2"/>
      <c r="C9" s="1"/>
      <c r="D9" s="2"/>
      <c r="E9" s="208" t="s">
        <v>0</v>
      </c>
      <c r="F9" s="5" t="s">
        <v>8</v>
      </c>
      <c r="G9" s="291" t="s">
        <v>159</v>
      </c>
      <c r="H9" s="291" t="s">
        <v>160</v>
      </c>
      <c r="I9" s="291" t="s">
        <v>161</v>
      </c>
      <c r="J9" s="8"/>
    </row>
    <row r="10" spans="2:13" ht="16.2" customHeight="1" x14ac:dyDescent="0.3">
      <c r="B10" s="59" t="s">
        <v>192</v>
      </c>
      <c r="C10" s="12" t="s">
        <v>9</v>
      </c>
      <c r="D10" s="40"/>
      <c r="E10" s="66">
        <f>E11+E12</f>
        <v>42671</v>
      </c>
      <c r="F10" s="280">
        <f>F11+F12</f>
        <v>36073.929999999993</v>
      </c>
      <c r="G10" s="280">
        <f t="shared" ref="G10:I10" si="0">G11+G12</f>
        <v>47514.093831002239</v>
      </c>
      <c r="H10" s="280">
        <f>H11+H12</f>
        <v>54973.586434350414</v>
      </c>
      <c r="I10" s="280">
        <f t="shared" si="0"/>
        <v>54643.143020304989</v>
      </c>
      <c r="J10" s="8"/>
    </row>
    <row r="11" spans="2:13" ht="16.2" customHeight="1" x14ac:dyDescent="0.3">
      <c r="B11" s="36" t="s">
        <v>106</v>
      </c>
      <c r="C11" s="13" t="s">
        <v>9</v>
      </c>
      <c r="D11" s="40"/>
      <c r="E11" s="188">
        <f>E14</f>
        <v>42671</v>
      </c>
      <c r="F11" s="72">
        <f>F14</f>
        <v>45433.259999999995</v>
      </c>
      <c r="G11" s="72">
        <f t="shared" ref="G11:I11" si="1">G14</f>
        <v>47514.093831002239</v>
      </c>
      <c r="H11" s="72">
        <f t="shared" si="1"/>
        <v>54973.586434350414</v>
      </c>
      <c r="I11" s="72">
        <f t="shared" si="1"/>
        <v>54643.143020304989</v>
      </c>
    </row>
    <row r="12" spans="2:13" ht="16.2" customHeight="1" x14ac:dyDescent="0.3">
      <c r="B12" s="36" t="s">
        <v>105</v>
      </c>
      <c r="C12" s="13" t="s">
        <v>9</v>
      </c>
      <c r="D12" s="41"/>
      <c r="E12" s="188">
        <v>0</v>
      </c>
      <c r="F12" s="157">
        <v>-9359.33</v>
      </c>
      <c r="G12" s="157">
        <v>0</v>
      </c>
      <c r="H12" s="157">
        <v>0</v>
      </c>
      <c r="I12" s="157">
        <v>0</v>
      </c>
      <c r="J12" s="145"/>
    </row>
    <row r="13" spans="2:13" ht="16.2" customHeight="1" x14ac:dyDescent="0.3">
      <c r="B13" s="22"/>
      <c r="C13" s="21"/>
      <c r="D13" s="41"/>
      <c r="E13" s="187"/>
      <c r="F13" s="187"/>
      <c r="G13" s="187"/>
      <c r="H13" s="187"/>
      <c r="I13" s="187"/>
    </row>
    <row r="14" spans="2:13" ht="16.2" customHeight="1" x14ac:dyDescent="0.3">
      <c r="B14" s="68" t="s">
        <v>121</v>
      </c>
      <c r="C14" s="12" t="s">
        <v>9</v>
      </c>
      <c r="D14" s="40"/>
      <c r="E14" s="66">
        <f>E15+E17</f>
        <v>42671</v>
      </c>
      <c r="F14" s="280">
        <f>F15+F17</f>
        <v>45433.259999999995</v>
      </c>
      <c r="G14" s="280">
        <f t="shared" ref="G14:I14" si="2">G15+G17</f>
        <v>47514.093831002239</v>
      </c>
      <c r="H14" s="280">
        <f t="shared" si="2"/>
        <v>54973.586434350414</v>
      </c>
      <c r="I14" s="280">
        <f t="shared" si="2"/>
        <v>54643.143020304989</v>
      </c>
    </row>
    <row r="15" spans="2:13" ht="27.6" x14ac:dyDescent="0.3">
      <c r="B15" s="26" t="s">
        <v>143</v>
      </c>
      <c r="C15" s="13" t="s">
        <v>9</v>
      </c>
      <c r="D15" s="42"/>
      <c r="E15" s="185">
        <v>26488</v>
      </c>
      <c r="F15" s="281">
        <v>27524.32</v>
      </c>
      <c r="G15" s="281">
        <v>30269.424310975181</v>
      </c>
      <c r="H15" s="281">
        <v>37325.325212939359</v>
      </c>
      <c r="I15" s="281">
        <v>37077.383784065256</v>
      </c>
      <c r="J15" s="120"/>
      <c r="K15" s="361"/>
      <c r="L15" s="361"/>
      <c r="M15" s="361"/>
    </row>
    <row r="16" spans="2:13" ht="15" customHeight="1" x14ac:dyDescent="0.3">
      <c r="B16" s="7" t="s">
        <v>144</v>
      </c>
      <c r="C16" s="19" t="s">
        <v>9</v>
      </c>
      <c r="D16" s="42"/>
      <c r="E16" s="249">
        <v>9993.4621084045793</v>
      </c>
      <c r="F16" s="282">
        <v>9773.8700000000008</v>
      </c>
      <c r="G16" s="282">
        <v>10092.189999858047</v>
      </c>
      <c r="H16" s="282">
        <v>11032.506896174089</v>
      </c>
      <c r="I16" s="282">
        <v>10972.784093056061</v>
      </c>
      <c r="J16" s="8"/>
    </row>
    <row r="17" spans="2:18" ht="27.6" customHeight="1" x14ac:dyDescent="0.3">
      <c r="B17" s="36" t="s">
        <v>112</v>
      </c>
      <c r="C17" s="13" t="s">
        <v>9</v>
      </c>
      <c r="D17" s="42"/>
      <c r="E17" s="185">
        <v>16183</v>
      </c>
      <c r="F17" s="281">
        <v>17908.939999999999</v>
      </c>
      <c r="G17" s="281">
        <v>17244.669520027059</v>
      </c>
      <c r="H17" s="281">
        <v>17648.261221411056</v>
      </c>
      <c r="I17" s="281">
        <v>17565.759236239734</v>
      </c>
      <c r="J17" s="8"/>
      <c r="K17" s="362"/>
      <c r="L17" s="362"/>
      <c r="M17" s="362"/>
      <c r="N17" s="178"/>
      <c r="O17" s="179"/>
      <c r="P17" s="179"/>
      <c r="Q17" s="179"/>
      <c r="R17" s="8"/>
    </row>
    <row r="18" spans="2:18" ht="15" customHeight="1" x14ac:dyDescent="0.3">
      <c r="B18" s="61" t="s">
        <v>188</v>
      </c>
      <c r="C18" s="19" t="s">
        <v>9</v>
      </c>
      <c r="D18" s="42"/>
      <c r="E18" s="188">
        <v>755.66099999999994</v>
      </c>
      <c r="F18" s="157">
        <v>855.82399999999996</v>
      </c>
      <c r="G18" s="157">
        <v>824.08015478904042</v>
      </c>
      <c r="H18" s="157">
        <v>843.36680515725084</v>
      </c>
      <c r="I18" s="157">
        <v>839.42423910045125</v>
      </c>
      <c r="K18" s="360"/>
      <c r="L18" s="360"/>
      <c r="M18" s="360"/>
      <c r="N18" s="179"/>
      <c r="O18" s="186"/>
      <c r="P18" s="186"/>
      <c r="Q18" s="186"/>
      <c r="R18" s="186"/>
    </row>
    <row r="19" spans="2:18" x14ac:dyDescent="0.3">
      <c r="B19" s="61" t="s">
        <v>13</v>
      </c>
      <c r="C19" s="19" t="s">
        <v>9</v>
      </c>
      <c r="D19" s="62"/>
      <c r="E19" s="250">
        <f>E17*E20</f>
        <v>10785.969499999999</v>
      </c>
      <c r="F19" s="11">
        <f>F17*F20</f>
        <v>8954.4699999999993</v>
      </c>
      <c r="G19" s="11">
        <f>G17*G20</f>
        <v>8622.3347600135294</v>
      </c>
      <c r="H19" s="11">
        <f t="shared" ref="H19" si="3">H17*H20</f>
        <v>8824.1306107055279</v>
      </c>
      <c r="I19" s="11">
        <f>I17*I20</f>
        <v>8782.8796181198668</v>
      </c>
      <c r="K19" s="8"/>
      <c r="L19" s="8"/>
      <c r="M19" s="134"/>
      <c r="N19" s="135"/>
      <c r="O19" s="136"/>
      <c r="P19" s="135"/>
      <c r="Q19" s="136"/>
      <c r="R19" s="8"/>
    </row>
    <row r="20" spans="2:18" x14ac:dyDescent="0.3">
      <c r="B20" s="61" t="s">
        <v>114</v>
      </c>
      <c r="C20" s="19" t="s">
        <v>1</v>
      </c>
      <c r="D20" s="62"/>
      <c r="E20" s="251">
        <v>0.66649999999999998</v>
      </c>
      <c r="F20" s="283">
        <v>0.5</v>
      </c>
      <c r="G20" s="283">
        <v>0.5</v>
      </c>
      <c r="H20" s="283">
        <v>0.5</v>
      </c>
      <c r="I20" s="283">
        <v>0.5</v>
      </c>
      <c r="J20" s="133"/>
      <c r="K20" s="179"/>
      <c r="L20" s="8"/>
    </row>
    <row r="21" spans="2:18" hidden="1" x14ac:dyDescent="0.3">
      <c r="B21" s="192"/>
      <c r="C21" s="25"/>
      <c r="D21" s="193"/>
      <c r="E21" s="252"/>
      <c r="F21" s="194"/>
      <c r="G21" s="194"/>
      <c r="H21" s="194"/>
      <c r="I21" s="194"/>
      <c r="J21" s="133"/>
      <c r="K21" s="179"/>
      <c r="L21" s="8"/>
    </row>
    <row r="22" spans="2:18" hidden="1" x14ac:dyDescent="0.3">
      <c r="B22" s="190" t="s">
        <v>110</v>
      </c>
      <c r="C22" s="13" t="s">
        <v>9</v>
      </c>
      <c r="D22" s="191"/>
      <c r="E22" s="185">
        <f>E23+E25</f>
        <v>0</v>
      </c>
      <c r="F22" s="185">
        <f>F23+F25</f>
        <v>-9359.33</v>
      </c>
      <c r="G22" s="185">
        <f t="shared" ref="G22:I22" si="4">G23+G25</f>
        <v>0</v>
      </c>
      <c r="H22" s="185">
        <f t="shared" si="4"/>
        <v>0</v>
      </c>
      <c r="I22" s="185">
        <f t="shared" si="4"/>
        <v>0</v>
      </c>
      <c r="J22" s="133"/>
      <c r="K22" s="179"/>
      <c r="L22" s="8"/>
    </row>
    <row r="23" spans="2:18" hidden="1" x14ac:dyDescent="0.3">
      <c r="B23" s="390" t="s">
        <v>107</v>
      </c>
      <c r="C23" s="19" t="s">
        <v>9</v>
      </c>
      <c r="D23" s="40"/>
      <c r="E23" s="188">
        <v>0</v>
      </c>
      <c r="F23" s="188">
        <f>F12*F24</f>
        <v>-3004.8463310130701</v>
      </c>
      <c r="G23" s="188">
        <f t="shared" ref="G23:I23" si="5">G12*G24</f>
        <v>0</v>
      </c>
      <c r="H23" s="188">
        <f t="shared" si="5"/>
        <v>0</v>
      </c>
      <c r="I23" s="188">
        <f t="shared" si="5"/>
        <v>0</v>
      </c>
      <c r="J23" s="133"/>
      <c r="K23" s="179"/>
      <c r="L23" s="8"/>
    </row>
    <row r="24" spans="2:18" hidden="1" x14ac:dyDescent="0.3">
      <c r="B24" s="390"/>
      <c r="C24" s="19" t="s">
        <v>1</v>
      </c>
      <c r="D24" s="40"/>
      <c r="E24" s="189">
        <v>0</v>
      </c>
      <c r="F24" s="195">
        <f>1-F26</f>
        <v>0.32105357231907306</v>
      </c>
      <c r="G24" s="195">
        <f t="shared" ref="G24:I24" si="6">1-G26</f>
        <v>0.38939062272464353</v>
      </c>
      <c r="H24" s="195">
        <f t="shared" si="6"/>
        <v>0.43456532868291919</v>
      </c>
      <c r="I24" s="195">
        <f t="shared" si="6"/>
        <v>0.43296289324476889</v>
      </c>
      <c r="J24" s="133"/>
      <c r="K24" s="179"/>
      <c r="L24" s="8"/>
    </row>
    <row r="25" spans="2:18" hidden="1" x14ac:dyDescent="0.3">
      <c r="B25" s="390" t="s">
        <v>109</v>
      </c>
      <c r="C25" s="19" t="s">
        <v>9</v>
      </c>
      <c r="D25" s="40"/>
      <c r="E25" s="188">
        <v>0</v>
      </c>
      <c r="F25" s="188">
        <f>F12*F26</f>
        <v>-6354.4836689869298</v>
      </c>
      <c r="G25" s="188">
        <f t="shared" ref="G25:I25" si="7">G12*G26</f>
        <v>0</v>
      </c>
      <c r="H25" s="188">
        <f t="shared" si="7"/>
        <v>0</v>
      </c>
      <c r="I25" s="188">
        <f t="shared" si="7"/>
        <v>0</v>
      </c>
      <c r="J25" s="133"/>
      <c r="K25" s="179"/>
      <c r="L25" s="8"/>
    </row>
    <row r="26" spans="2:18" hidden="1" x14ac:dyDescent="0.3">
      <c r="B26" s="390"/>
      <c r="C26" s="19" t="s">
        <v>1</v>
      </c>
      <c r="D26" s="40"/>
      <c r="E26" s="189">
        <v>0</v>
      </c>
      <c r="F26" s="195">
        <f>F17/(F17+F101*F77/1000)</f>
        <v>0.67894642768092694</v>
      </c>
      <c r="G26" s="195">
        <f>G17/(G17+G101*G77/1000)</f>
        <v>0.61060937727535647</v>
      </c>
      <c r="H26" s="195">
        <f>H17/(H17+H101*H77/1000)</f>
        <v>0.56543467131708081</v>
      </c>
      <c r="I26" s="195">
        <f>I17/(I17+I101*I77/1000)</f>
        <v>0.56703710675523111</v>
      </c>
      <c r="J26" s="133"/>
      <c r="K26" s="179"/>
    </row>
    <row r="27" spans="2:18" x14ac:dyDescent="0.3">
      <c r="B27" s="192"/>
      <c r="C27" s="25"/>
      <c r="D27" s="193"/>
      <c r="E27" s="252"/>
      <c r="F27" s="194"/>
      <c r="G27" s="194"/>
      <c r="H27" s="194"/>
      <c r="I27" s="194"/>
      <c r="J27" s="133"/>
      <c r="K27" s="179"/>
      <c r="L27" s="8"/>
    </row>
    <row r="28" spans="2:18" x14ac:dyDescent="0.3">
      <c r="B28" s="68" t="s">
        <v>111</v>
      </c>
      <c r="C28" s="12" t="s">
        <v>9</v>
      </c>
      <c r="D28" s="40"/>
      <c r="E28" s="66">
        <f>E29+E31</f>
        <v>42671</v>
      </c>
      <c r="F28" s="280">
        <f>F29+F31</f>
        <v>36073.93</v>
      </c>
      <c r="G28" s="280">
        <f>G29+G31</f>
        <v>47514.093831002239</v>
      </c>
      <c r="H28" s="280">
        <f t="shared" ref="H28:I28" si="8">H29+H31</f>
        <v>54973.586434350414</v>
      </c>
      <c r="I28" s="280">
        <f t="shared" si="8"/>
        <v>54643.143020304989</v>
      </c>
      <c r="J28" s="133"/>
      <c r="K28" s="179"/>
      <c r="L28" s="8"/>
      <c r="M28" s="8"/>
    </row>
    <row r="29" spans="2:18" ht="27.6" x14ac:dyDescent="0.3">
      <c r="B29" s="26" t="s">
        <v>150</v>
      </c>
      <c r="C29" s="13" t="s">
        <v>9</v>
      </c>
      <c r="D29" s="42"/>
      <c r="E29" s="185">
        <f>E15+E23</f>
        <v>26488</v>
      </c>
      <c r="F29" s="185">
        <f>F15+F23</f>
        <v>24519.473668986931</v>
      </c>
      <c r="G29" s="185">
        <f>G15+G23</f>
        <v>30269.424310975181</v>
      </c>
      <c r="H29" s="185">
        <f t="shared" ref="H29:I29" si="9">H15+H23</f>
        <v>37325.325212939359</v>
      </c>
      <c r="I29" s="185">
        <f t="shared" si="9"/>
        <v>37077.383784065256</v>
      </c>
      <c r="J29" s="133"/>
      <c r="K29" s="179"/>
      <c r="L29" s="8"/>
      <c r="M29" s="8"/>
    </row>
    <row r="30" spans="2:18" ht="15" x14ac:dyDescent="0.3">
      <c r="B30" s="7" t="s">
        <v>144</v>
      </c>
      <c r="C30" s="19" t="s">
        <v>9</v>
      </c>
      <c r="D30" s="42"/>
      <c r="E30" s="249">
        <f>E16</f>
        <v>9993.4621084045793</v>
      </c>
      <c r="F30" s="249">
        <f>F16</f>
        <v>9773.8700000000008</v>
      </c>
      <c r="G30" s="249">
        <f t="shared" ref="G30:I30" si="10">G16</f>
        <v>10092.189999858047</v>
      </c>
      <c r="H30" s="249">
        <f t="shared" si="10"/>
        <v>11032.506896174089</v>
      </c>
      <c r="I30" s="249">
        <f t="shared" si="10"/>
        <v>10972.784093056061</v>
      </c>
      <c r="J30" s="133"/>
      <c r="K30" s="179"/>
      <c r="L30" s="8"/>
    </row>
    <row r="31" spans="2:18" x14ac:dyDescent="0.3">
      <c r="B31" s="36" t="s">
        <v>113</v>
      </c>
      <c r="C31" s="13" t="s">
        <v>9</v>
      </c>
      <c r="D31" s="42"/>
      <c r="E31" s="185">
        <f>E17+E25</f>
        <v>16183</v>
      </c>
      <c r="F31" s="185">
        <f>F17+F25</f>
        <v>11554.456331013069</v>
      </c>
      <c r="G31" s="185">
        <f t="shared" ref="G31:I31" si="11">G17+G25</f>
        <v>17244.669520027059</v>
      </c>
      <c r="H31" s="185">
        <f t="shared" si="11"/>
        <v>17648.261221411056</v>
      </c>
      <c r="I31" s="185">
        <f t="shared" si="11"/>
        <v>17565.759236239734</v>
      </c>
      <c r="J31" s="133"/>
      <c r="K31" s="179"/>
      <c r="L31" s="71"/>
    </row>
    <row r="32" spans="2:18" ht="15" x14ac:dyDescent="0.3">
      <c r="B32" s="61" t="s">
        <v>188</v>
      </c>
      <c r="C32" s="19" t="s">
        <v>9</v>
      </c>
      <c r="D32" s="42"/>
      <c r="E32" s="188">
        <f>E31/E17*E18</f>
        <v>755.66099999999994</v>
      </c>
      <c r="F32" s="188">
        <f>F31/F17*F18</f>
        <v>552.15892370139875</v>
      </c>
      <c r="G32" s="188">
        <f>G31/G17*G18</f>
        <v>824.08015478904042</v>
      </c>
      <c r="H32" s="188">
        <f t="shared" ref="H32:I32" si="12">H31/H17*H18</f>
        <v>843.36680515725084</v>
      </c>
      <c r="I32" s="188">
        <f t="shared" si="12"/>
        <v>839.42423910045125</v>
      </c>
      <c r="J32" s="133"/>
      <c r="K32" s="179"/>
      <c r="L32" s="71"/>
    </row>
    <row r="33" spans="2:12" x14ac:dyDescent="0.3">
      <c r="B33" s="61" t="s">
        <v>13</v>
      </c>
      <c r="C33" s="19" t="s">
        <v>9</v>
      </c>
      <c r="D33" s="62"/>
      <c r="E33" s="250">
        <f>E31*E20</f>
        <v>10785.969499999999</v>
      </c>
      <c r="F33" s="250">
        <f>F31*F20</f>
        <v>5777.2281655065344</v>
      </c>
      <c r="G33" s="250">
        <f>G31*G20</f>
        <v>8622.3347600135294</v>
      </c>
      <c r="H33" s="250">
        <f t="shared" ref="H33:I33" si="13">H31*H20</f>
        <v>8824.1306107055279</v>
      </c>
      <c r="I33" s="250">
        <f t="shared" si="13"/>
        <v>8782.8796181198668</v>
      </c>
      <c r="J33" s="196"/>
      <c r="K33" s="179"/>
      <c r="L33" s="8"/>
    </row>
    <row r="34" spans="2:12" x14ac:dyDescent="0.3">
      <c r="B34" s="43"/>
      <c r="C34" s="25"/>
      <c r="D34" s="44"/>
      <c r="E34" s="253"/>
      <c r="F34" s="28"/>
      <c r="G34" s="28"/>
      <c r="H34" s="28"/>
      <c r="I34" s="28"/>
      <c r="J34" s="133"/>
      <c r="K34" s="167"/>
      <c r="L34" s="8"/>
    </row>
    <row r="35" spans="2:12" ht="35.4" customHeight="1" x14ac:dyDescent="0.3">
      <c r="B35" s="59" t="s">
        <v>87</v>
      </c>
      <c r="C35" s="12" t="s">
        <v>9</v>
      </c>
      <c r="D35" s="40"/>
      <c r="E35" s="254">
        <v>6380</v>
      </c>
      <c r="F35" s="254" t="s">
        <v>10</v>
      </c>
      <c r="G35" s="254" t="s">
        <v>10</v>
      </c>
      <c r="H35" s="254" t="s">
        <v>10</v>
      </c>
      <c r="I35" s="254" t="s">
        <v>10</v>
      </c>
      <c r="J35" s="133"/>
      <c r="K35" s="167"/>
      <c r="L35" s="8"/>
    </row>
    <row r="36" spans="2:12" hidden="1" x14ac:dyDescent="0.3">
      <c r="B36" s="7" t="s">
        <v>118</v>
      </c>
      <c r="C36" s="13" t="s">
        <v>9</v>
      </c>
      <c r="D36" s="40"/>
      <c r="E36" s="254">
        <f>E35-E37</f>
        <v>3166.1461197448361</v>
      </c>
      <c r="F36" s="254" t="s">
        <v>10</v>
      </c>
      <c r="G36" s="254" t="s">
        <v>10</v>
      </c>
      <c r="H36" s="254" t="s">
        <v>10</v>
      </c>
      <c r="I36" s="254" t="s">
        <v>10</v>
      </c>
      <c r="J36" s="133"/>
      <c r="K36" s="169"/>
      <c r="L36" s="8"/>
    </row>
    <row r="37" spans="2:12" hidden="1" x14ac:dyDescent="0.3">
      <c r="B37" s="7" t="s">
        <v>119</v>
      </c>
      <c r="C37" s="13" t="s">
        <v>9</v>
      </c>
      <c r="D37" s="40"/>
      <c r="E37" s="254">
        <f>E35*E31/(E31+E29*E52-E102/0.66*E75/1000)</f>
        <v>3213.8538802551639</v>
      </c>
      <c r="F37" s="254" t="s">
        <v>10</v>
      </c>
      <c r="G37" s="254" t="s">
        <v>10</v>
      </c>
      <c r="H37" s="254" t="s">
        <v>10</v>
      </c>
      <c r="I37" s="254" t="s">
        <v>10</v>
      </c>
      <c r="J37" s="133"/>
      <c r="K37" s="169"/>
      <c r="L37" s="8"/>
    </row>
    <row r="38" spans="2:12" x14ac:dyDescent="0.3">
      <c r="B38" s="22"/>
      <c r="C38" s="21"/>
      <c r="D38" s="41"/>
      <c r="E38" s="255"/>
      <c r="F38" s="28"/>
      <c r="G38" s="28"/>
      <c r="H38" s="28"/>
      <c r="I38" s="28"/>
      <c r="J38" s="133"/>
      <c r="K38" s="138"/>
      <c r="L38" s="137"/>
    </row>
    <row r="39" spans="2:12" ht="41.4" x14ac:dyDescent="0.3">
      <c r="B39" s="59" t="s">
        <v>151</v>
      </c>
      <c r="C39" s="12" t="s">
        <v>9</v>
      </c>
      <c r="D39" s="40"/>
      <c r="E39" s="254">
        <f>E10-E35</f>
        <v>36291</v>
      </c>
      <c r="F39" s="254" t="s">
        <v>10</v>
      </c>
      <c r="G39" s="254" t="s">
        <v>10</v>
      </c>
      <c r="H39" s="254" t="s">
        <v>10</v>
      </c>
      <c r="I39" s="254" t="s">
        <v>10</v>
      </c>
      <c r="J39" s="134"/>
      <c r="K39" s="170"/>
      <c r="L39" s="8"/>
    </row>
    <row r="40" spans="2:12" x14ac:dyDescent="0.3">
      <c r="B40" s="68" t="s">
        <v>125</v>
      </c>
      <c r="C40" s="12" t="s">
        <v>9</v>
      </c>
      <c r="D40" s="40"/>
      <c r="E40" s="254">
        <f>E15-E36</f>
        <v>23321.853880255163</v>
      </c>
      <c r="F40" s="6">
        <f>F41+F42</f>
        <v>27524.32</v>
      </c>
      <c r="G40" s="6">
        <f t="shared" ref="G40:I40" si="14">G41+G42</f>
        <v>30269.424310975184</v>
      </c>
      <c r="H40" s="6">
        <f t="shared" si="14"/>
        <v>37325.325212939359</v>
      </c>
      <c r="I40" s="6">
        <f t="shared" si="14"/>
        <v>37077.383784065256</v>
      </c>
      <c r="J40" s="133"/>
      <c r="K40" s="170"/>
      <c r="L40" s="8"/>
    </row>
    <row r="41" spans="2:12" ht="15" x14ac:dyDescent="0.3">
      <c r="B41" s="237" t="s">
        <v>144</v>
      </c>
      <c r="C41" s="13" t="s">
        <v>9</v>
      </c>
      <c r="D41" s="40"/>
      <c r="E41" s="254">
        <f>E16</f>
        <v>9993.4621084045793</v>
      </c>
      <c r="F41" s="6">
        <f>F16</f>
        <v>9773.8700000000008</v>
      </c>
      <c r="G41" s="6">
        <f t="shared" ref="G41:I41" si="15">G16</f>
        <v>10092.189999858047</v>
      </c>
      <c r="H41" s="6">
        <f t="shared" si="15"/>
        <v>11032.506896174089</v>
      </c>
      <c r="I41" s="6">
        <f t="shared" si="15"/>
        <v>10972.784093056061</v>
      </c>
      <c r="J41" s="133"/>
      <c r="K41" s="136"/>
      <c r="L41" s="8"/>
    </row>
    <row r="42" spans="2:12" ht="16.2" customHeight="1" x14ac:dyDescent="0.3">
      <c r="B42" s="201" t="s">
        <v>115</v>
      </c>
      <c r="C42" s="13" t="s">
        <v>9</v>
      </c>
      <c r="D42" s="40"/>
      <c r="E42" s="254">
        <f>E40-E41</f>
        <v>13328.391771850584</v>
      </c>
      <c r="F42" s="6">
        <f>F15-F16</f>
        <v>17750.449999999997</v>
      </c>
      <c r="G42" s="6">
        <f t="shared" ref="G42:I42" si="16">G15-G16</f>
        <v>20177.234311117136</v>
      </c>
      <c r="H42" s="6">
        <f t="shared" si="16"/>
        <v>26292.818316765268</v>
      </c>
      <c r="I42" s="6">
        <f t="shared" si="16"/>
        <v>26104.599691009193</v>
      </c>
      <c r="J42" s="133"/>
      <c r="K42" s="136"/>
      <c r="L42" s="8"/>
    </row>
    <row r="43" spans="2:12" ht="15" customHeight="1" x14ac:dyDescent="0.3">
      <c r="B43" s="201"/>
      <c r="C43" s="13"/>
      <c r="D43" s="40"/>
      <c r="E43" s="256"/>
      <c r="F43" s="153"/>
      <c r="G43" s="153"/>
      <c r="H43" s="153"/>
      <c r="I43" s="153"/>
      <c r="J43" s="133"/>
      <c r="K43" s="136"/>
      <c r="L43" s="8"/>
    </row>
    <row r="44" spans="2:12" ht="16.2" customHeight="1" x14ac:dyDescent="0.3">
      <c r="B44" s="201" t="s">
        <v>145</v>
      </c>
      <c r="C44" s="13" t="s">
        <v>9</v>
      </c>
      <c r="D44" s="42"/>
      <c r="E44" s="188" t="s">
        <v>10</v>
      </c>
      <c r="F44" s="72">
        <f>F41-F47</f>
        <v>8229.3541755044262</v>
      </c>
      <c r="G44" s="72">
        <f t="shared" ref="G44:I44" si="17">G41-G47</f>
        <v>8375.1860266227686</v>
      </c>
      <c r="H44" s="72">
        <f t="shared" si="17"/>
        <v>9005.6101793746602</v>
      </c>
      <c r="I44" s="72">
        <f t="shared" si="17"/>
        <v>8959.3514697448063</v>
      </c>
      <c r="J44" s="133"/>
      <c r="K44" s="136"/>
      <c r="L44" s="8"/>
    </row>
    <row r="45" spans="2:12" ht="16.2" customHeight="1" x14ac:dyDescent="0.3">
      <c r="B45" s="201" t="s">
        <v>116</v>
      </c>
      <c r="C45" s="13" t="s">
        <v>9</v>
      </c>
      <c r="D45" s="42"/>
      <c r="E45" s="188" t="s">
        <v>10</v>
      </c>
      <c r="F45" s="72">
        <f>F42-F48</f>
        <v>16542.533824495571</v>
      </c>
      <c r="G45" s="72">
        <f t="shared" ref="G45:I45" si="18">G42-G48</f>
        <v>18867.295853254895</v>
      </c>
      <c r="H45" s="72">
        <f t="shared" si="18"/>
        <v>24587.18251227076</v>
      </c>
      <c r="I45" s="72">
        <f t="shared" si="18"/>
        <v>24410.293935913924</v>
      </c>
      <c r="J45" s="133"/>
      <c r="K45" s="136"/>
      <c r="L45" s="8"/>
    </row>
    <row r="46" spans="2:12" ht="16.2" customHeight="1" x14ac:dyDescent="0.3">
      <c r="B46" s="201"/>
      <c r="C46" s="13"/>
      <c r="D46" s="42"/>
      <c r="E46" s="257"/>
      <c r="F46" s="165"/>
      <c r="G46" s="165"/>
      <c r="H46" s="165"/>
      <c r="I46" s="165"/>
      <c r="J46" s="133"/>
      <c r="K46" s="136"/>
      <c r="L46" s="8"/>
    </row>
    <row r="47" spans="2:12" ht="16.2" customHeight="1" x14ac:dyDescent="0.3">
      <c r="B47" s="201" t="s">
        <v>146</v>
      </c>
      <c r="C47" s="13" t="s">
        <v>9</v>
      </c>
      <c r="D47" s="42"/>
      <c r="E47" s="188" t="s">
        <v>10</v>
      </c>
      <c r="F47" s="72">
        <f>IF(F56=0%,0,F85*F111/1000)</f>
        <v>1544.5158244955751</v>
      </c>
      <c r="G47" s="72">
        <f t="shared" ref="G47:I47" si="19">IF(G56=0%,0,G85*G111/1000)</f>
        <v>1717.0039732352782</v>
      </c>
      <c r="H47" s="72">
        <f t="shared" si="19"/>
        <v>2026.8967167994281</v>
      </c>
      <c r="I47" s="72">
        <f t="shared" si="19"/>
        <v>2013.4326233112552</v>
      </c>
      <c r="J47" s="166"/>
      <c r="K47" s="136"/>
      <c r="L47" s="8"/>
    </row>
    <row r="48" spans="2:12" ht="16.2" customHeight="1" x14ac:dyDescent="0.3">
      <c r="B48" s="201" t="s">
        <v>117</v>
      </c>
      <c r="C48" s="13" t="s">
        <v>9</v>
      </c>
      <c r="D48" s="42"/>
      <c r="E48" s="188" t="s">
        <v>10</v>
      </c>
      <c r="F48" s="72">
        <f>IF(F56=0%,0,(F82-F85)*F124/1000)</f>
        <v>1207.9161755044242</v>
      </c>
      <c r="G48" s="72">
        <f t="shared" ref="G48:I48" si="20">IF(G56=0%,0,(G82-G85)*G124/1000)</f>
        <v>1309.9384578622394</v>
      </c>
      <c r="H48" s="72">
        <f t="shared" si="20"/>
        <v>1705.6358044945068</v>
      </c>
      <c r="I48" s="72">
        <f t="shared" si="20"/>
        <v>1694.3057550952694</v>
      </c>
      <c r="J48" s="133"/>
      <c r="K48" s="136"/>
      <c r="L48" s="8"/>
    </row>
    <row r="49" spans="2:13" x14ac:dyDescent="0.3">
      <c r="B49" s="45"/>
      <c r="C49" s="14"/>
      <c r="D49" s="40"/>
      <c r="E49" s="258"/>
      <c r="F49" s="224"/>
      <c r="G49" s="224"/>
      <c r="H49" s="224"/>
      <c r="I49" s="224"/>
      <c r="K49" s="8"/>
      <c r="L49" s="8"/>
      <c r="M49" s="8"/>
    </row>
    <row r="50" spans="2:13" ht="16.2" customHeight="1" x14ac:dyDescent="0.3">
      <c r="B50" s="32" t="s">
        <v>85</v>
      </c>
      <c r="C50" s="15"/>
      <c r="D50" s="46"/>
      <c r="E50" s="259"/>
      <c r="F50" s="29"/>
      <c r="G50" s="29"/>
      <c r="H50" s="29"/>
      <c r="I50" s="29"/>
      <c r="J50" s="8"/>
    </row>
    <row r="51" spans="2:13" x14ac:dyDescent="0.3">
      <c r="B51" s="47" t="s">
        <v>6</v>
      </c>
      <c r="C51" s="16" t="s">
        <v>1</v>
      </c>
      <c r="D51" s="48"/>
      <c r="E51" s="260">
        <v>0.2</v>
      </c>
      <c r="F51" s="289">
        <v>0.73257364149920134</v>
      </c>
      <c r="G51" s="289">
        <v>0.62875195174992204</v>
      </c>
      <c r="H51" s="289">
        <v>0.56409441231985724</v>
      </c>
      <c r="I51" s="289">
        <v>0.56818210818243342</v>
      </c>
      <c r="J51" s="74"/>
    </row>
    <row r="52" spans="2:13" x14ac:dyDescent="0.3">
      <c r="B52" s="47" t="s">
        <v>7</v>
      </c>
      <c r="C52" s="16" t="s">
        <v>1</v>
      </c>
      <c r="D52" s="48"/>
      <c r="E52" s="260">
        <f>1-E51</f>
        <v>0.8</v>
      </c>
      <c r="F52" s="223">
        <f t="shared" ref="F52:I52" si="21">1-F51</f>
        <v>0.26742635850079866</v>
      </c>
      <c r="G52" s="223">
        <f t="shared" si="21"/>
        <v>0.37124804825007796</v>
      </c>
      <c r="H52" s="223">
        <f t="shared" si="21"/>
        <v>0.43590558768014276</v>
      </c>
      <c r="I52" s="223">
        <f t="shared" si="21"/>
        <v>0.43181789181756658</v>
      </c>
    </row>
    <row r="53" spans="2:13" x14ac:dyDescent="0.3">
      <c r="B53" s="49"/>
      <c r="C53" s="20"/>
      <c r="D53" s="50"/>
      <c r="E53" s="261"/>
      <c r="F53" s="28"/>
      <c r="G53" s="28"/>
      <c r="H53" s="28"/>
      <c r="I53" s="28"/>
    </row>
    <row r="54" spans="2:13" ht="16.95" customHeight="1" x14ac:dyDescent="0.3">
      <c r="B54" s="32" t="s">
        <v>108</v>
      </c>
      <c r="C54" s="15"/>
      <c r="D54" s="51"/>
      <c r="E54" s="262"/>
      <c r="F54" s="52"/>
      <c r="G54" s="52"/>
      <c r="H54" s="52"/>
      <c r="I54" s="52"/>
    </row>
    <row r="55" spans="2:13" x14ac:dyDescent="0.3">
      <c r="B55" s="47" t="s">
        <v>2</v>
      </c>
      <c r="C55" s="16" t="s">
        <v>1</v>
      </c>
      <c r="D55" s="48"/>
      <c r="E55" s="260">
        <f>70.9667522966893%</f>
        <v>0.70966752296689295</v>
      </c>
      <c r="F55" s="158">
        <v>0.9</v>
      </c>
      <c r="G55" s="158">
        <v>0.9</v>
      </c>
      <c r="H55" s="158">
        <v>0.9</v>
      </c>
      <c r="I55" s="158">
        <v>0.9</v>
      </c>
      <c r="K55" s="8"/>
    </row>
    <row r="56" spans="2:13" x14ac:dyDescent="0.3">
      <c r="B56" s="47" t="s">
        <v>3</v>
      </c>
      <c r="C56" s="16" t="s">
        <v>1</v>
      </c>
      <c r="D56" s="48"/>
      <c r="E56" s="260">
        <f>1-E55</f>
        <v>0.29033247703310705</v>
      </c>
      <c r="F56" s="70">
        <f t="shared" ref="F56:I56" si="22">1-F55</f>
        <v>9.9999999999999978E-2</v>
      </c>
      <c r="G56" s="70">
        <f t="shared" si="22"/>
        <v>9.9999999999999978E-2</v>
      </c>
      <c r="H56" s="70">
        <f t="shared" si="22"/>
        <v>9.9999999999999978E-2</v>
      </c>
      <c r="I56" s="70">
        <f t="shared" si="22"/>
        <v>9.9999999999999978E-2</v>
      </c>
      <c r="K56" s="9"/>
    </row>
    <row r="57" spans="2:13" x14ac:dyDescent="0.3">
      <c r="B57" s="53"/>
      <c r="C57" s="17"/>
      <c r="D57" s="48"/>
      <c r="E57" s="263"/>
      <c r="F57" s="156"/>
      <c r="G57" s="156"/>
      <c r="H57" s="156"/>
      <c r="I57" s="156"/>
      <c r="K57" s="8"/>
    </row>
    <row r="58" spans="2:13" x14ac:dyDescent="0.3">
      <c r="B58" s="32" t="s">
        <v>140</v>
      </c>
      <c r="C58" s="15" t="s">
        <v>1</v>
      </c>
      <c r="D58" s="48"/>
      <c r="E58" s="264">
        <v>0.75</v>
      </c>
      <c r="F58" s="158">
        <v>0.75</v>
      </c>
      <c r="G58" s="158">
        <v>0.75</v>
      </c>
      <c r="H58" s="158">
        <v>0.75</v>
      </c>
      <c r="I58" s="158">
        <v>0.75</v>
      </c>
      <c r="K58" s="8"/>
    </row>
    <row r="59" spans="2:13" x14ac:dyDescent="0.3">
      <c r="B59" s="147"/>
      <c r="C59" s="148"/>
      <c r="D59" s="50"/>
      <c r="E59" s="265"/>
      <c r="F59" s="149"/>
      <c r="G59" s="149"/>
      <c r="H59" s="149"/>
      <c r="I59" s="149"/>
      <c r="K59" s="164"/>
    </row>
    <row r="60" spans="2:13" x14ac:dyDescent="0.3">
      <c r="B60" s="32" t="s">
        <v>86</v>
      </c>
      <c r="C60" s="15"/>
      <c r="D60" s="46"/>
      <c r="E60" s="259"/>
      <c r="F60" s="29"/>
      <c r="G60" s="29"/>
      <c r="H60" s="29"/>
      <c r="I60" s="29"/>
      <c r="K60" s="164"/>
    </row>
    <row r="61" spans="2:13" x14ac:dyDescent="0.3">
      <c r="B61" s="47" t="s">
        <v>6</v>
      </c>
      <c r="C61" s="16" t="s">
        <v>1</v>
      </c>
      <c r="D61" s="48"/>
      <c r="E61" s="260">
        <v>0.2</v>
      </c>
      <c r="F61" s="223">
        <f>(F70*F96+F71*F99)/1000/F45</f>
        <v>0.47719460339277964</v>
      </c>
      <c r="G61" s="223">
        <f>(G70*G96+G71*G99)/1000/G45</f>
        <v>0.40466725684140931</v>
      </c>
      <c r="H61" s="223">
        <f>(H70*H96+H71*H99)/1000/H45</f>
        <v>0.35461696788407998</v>
      </c>
      <c r="I61" s="223">
        <f>(I70*I96+I71*I99)/1000/I45</f>
        <v>0.35718669075450804</v>
      </c>
      <c r="K61" s="164"/>
    </row>
    <row r="62" spans="2:13" x14ac:dyDescent="0.3">
      <c r="B62" s="47" t="s">
        <v>7</v>
      </c>
      <c r="C62" s="16" t="s">
        <v>1</v>
      </c>
      <c r="D62" s="48"/>
      <c r="E62" s="260">
        <f>1-E61</f>
        <v>0.8</v>
      </c>
      <c r="F62" s="223">
        <f t="shared" ref="F62:I62" si="23">1-F61</f>
        <v>0.52280539660722036</v>
      </c>
      <c r="G62" s="223">
        <f t="shared" si="23"/>
        <v>0.59533274315859064</v>
      </c>
      <c r="H62" s="223">
        <f t="shared" si="23"/>
        <v>0.64538303211591996</v>
      </c>
      <c r="I62" s="223">
        <f t="shared" si="23"/>
        <v>0.64281330924549196</v>
      </c>
    </row>
    <row r="63" spans="2:13" x14ac:dyDescent="0.3">
      <c r="B63" s="54"/>
      <c r="C63" s="18"/>
      <c r="D63" s="53"/>
      <c r="E63" s="266"/>
      <c r="F63" s="222"/>
      <c r="G63" s="222"/>
      <c r="H63" s="222"/>
      <c r="I63" s="222"/>
    </row>
    <row r="64" spans="2:13" ht="15" x14ac:dyDescent="0.3">
      <c r="B64" s="35" t="s">
        <v>15</v>
      </c>
      <c r="C64" s="15"/>
      <c r="D64" s="46"/>
      <c r="E64" s="29"/>
      <c r="F64" s="151"/>
      <c r="G64" s="151"/>
      <c r="H64" s="151"/>
      <c r="I64" s="151"/>
      <c r="J64" s="298"/>
    </row>
    <row r="65" spans="2:14" x14ac:dyDescent="0.3">
      <c r="B65" s="33" t="s">
        <v>93</v>
      </c>
      <c r="C65" s="16" t="s">
        <v>4</v>
      </c>
      <c r="D65" s="30"/>
      <c r="E65" s="267">
        <f>E66+E75</f>
        <v>117200</v>
      </c>
      <c r="F65" s="146" t="s">
        <v>10</v>
      </c>
      <c r="G65" s="146" t="s">
        <v>10</v>
      </c>
      <c r="H65" s="146" t="s">
        <v>10</v>
      </c>
      <c r="I65" s="146" t="s">
        <v>10</v>
      </c>
      <c r="J65" s="299"/>
    </row>
    <row r="66" spans="2:14" x14ac:dyDescent="0.3">
      <c r="B66" s="37" t="s">
        <v>152</v>
      </c>
      <c r="C66" s="16"/>
      <c r="D66" s="30"/>
      <c r="E66" s="268">
        <v>8000</v>
      </c>
      <c r="F66" s="146" t="s">
        <v>10</v>
      </c>
      <c r="G66" s="146" t="s">
        <v>10</v>
      </c>
      <c r="H66" s="146" t="s">
        <v>10</v>
      </c>
      <c r="I66" s="146" t="s">
        <v>10</v>
      </c>
      <c r="J66" s="299"/>
    </row>
    <row r="67" spans="2:14" x14ac:dyDescent="0.3">
      <c r="B67" s="33" t="s">
        <v>94</v>
      </c>
      <c r="C67" s="16" t="s">
        <v>4</v>
      </c>
      <c r="D67" s="30"/>
      <c r="E67" s="267">
        <v>0</v>
      </c>
      <c r="F67" s="146" t="s">
        <v>10</v>
      </c>
      <c r="G67" s="146" t="s">
        <v>10</v>
      </c>
      <c r="H67" s="146" t="s">
        <v>10</v>
      </c>
      <c r="I67" s="146" t="s">
        <v>10</v>
      </c>
      <c r="J67" s="299"/>
    </row>
    <row r="68" spans="2:14" x14ac:dyDescent="0.3">
      <c r="B68" s="33" t="s">
        <v>95</v>
      </c>
      <c r="C68" s="16" t="s">
        <v>4</v>
      </c>
      <c r="D68" s="30"/>
      <c r="E68" s="267">
        <v>21350</v>
      </c>
      <c r="F68" s="146" t="s">
        <v>10</v>
      </c>
      <c r="G68" s="146" t="s">
        <v>10</v>
      </c>
      <c r="H68" s="146" t="s">
        <v>10</v>
      </c>
      <c r="I68" s="146" t="s">
        <v>10</v>
      </c>
      <c r="J68" s="299"/>
      <c r="K68" s="337"/>
      <c r="L68" s="337"/>
      <c r="M68" s="337"/>
      <c r="N68" s="337"/>
    </row>
    <row r="69" spans="2:14" ht="28.8" customHeight="1" x14ac:dyDescent="0.3">
      <c r="B69" s="26" t="s">
        <v>166</v>
      </c>
      <c r="C69" s="16" t="s">
        <v>4</v>
      </c>
      <c r="D69" s="30"/>
      <c r="E69" s="185" t="s">
        <v>10</v>
      </c>
      <c r="F69" s="67">
        <f>F70+F71</f>
        <v>84882.147814207652</v>
      </c>
      <c r="G69" s="67">
        <f>G70+G71</f>
        <v>83090.628927486337</v>
      </c>
      <c r="H69" s="67">
        <f>H70+H71</f>
        <v>97145.704768932133</v>
      </c>
      <c r="I69" s="67">
        <f>I70+I71</f>
        <v>97145.704768932133</v>
      </c>
      <c r="J69" s="299"/>
      <c r="K69" s="371"/>
      <c r="L69" s="110"/>
    </row>
    <row r="70" spans="2:14" ht="15" customHeight="1" x14ac:dyDescent="0.3">
      <c r="B70" s="37" t="s">
        <v>154</v>
      </c>
      <c r="C70" s="13" t="s">
        <v>4</v>
      </c>
      <c r="D70" s="234"/>
      <c r="E70" s="188" t="s">
        <v>10</v>
      </c>
      <c r="F70" s="157">
        <v>45428.328142076498</v>
      </c>
      <c r="G70" s="157">
        <v>43606.402689245144</v>
      </c>
      <c r="H70" s="157">
        <v>49045.402104539397</v>
      </c>
      <c r="I70" s="157">
        <v>49045.402104539397</v>
      </c>
      <c r="J70" s="334"/>
      <c r="K70" s="110"/>
      <c r="L70" s="220"/>
    </row>
    <row r="71" spans="2:14" ht="12.6" customHeight="1" x14ac:dyDescent="0.3">
      <c r="B71" s="37" t="s">
        <v>153</v>
      </c>
      <c r="C71" s="16" t="s">
        <v>4</v>
      </c>
      <c r="D71" s="30"/>
      <c r="E71" s="254" t="s">
        <v>10</v>
      </c>
      <c r="F71" s="157">
        <v>39453.819672131154</v>
      </c>
      <c r="G71" s="157">
        <v>39484.226238241194</v>
      </c>
      <c r="H71" s="157">
        <v>48100.302664392737</v>
      </c>
      <c r="I71" s="157">
        <v>48100.302664392737</v>
      </c>
      <c r="J71" s="299"/>
      <c r="K71" s="110"/>
      <c r="L71" s="110"/>
    </row>
    <row r="72" spans="2:14" x14ac:dyDescent="0.3">
      <c r="B72" s="33" t="s">
        <v>139</v>
      </c>
      <c r="C72" s="16" t="s">
        <v>4</v>
      </c>
      <c r="D72" s="30"/>
      <c r="E72" s="254" t="s">
        <v>10</v>
      </c>
      <c r="F72" s="72">
        <v>109200</v>
      </c>
      <c r="G72" s="72">
        <v>109200</v>
      </c>
      <c r="H72" s="72">
        <v>109200</v>
      </c>
      <c r="I72" s="72">
        <v>109200</v>
      </c>
      <c r="J72" s="299"/>
      <c r="K72" s="110"/>
      <c r="L72" s="110"/>
      <c r="M72" s="336"/>
      <c r="N72" s="139"/>
    </row>
    <row r="73" spans="2:14" x14ac:dyDescent="0.3">
      <c r="B73" s="26" t="s">
        <v>155</v>
      </c>
      <c r="C73" s="16" t="s">
        <v>4</v>
      </c>
      <c r="D73" s="30"/>
      <c r="E73" s="185">
        <f>SUM(E74:E77)</f>
        <v>192734.6</v>
      </c>
      <c r="F73" s="67">
        <f>SUM(F74:F77)</f>
        <v>206675.61837701546</v>
      </c>
      <c r="G73" s="67">
        <f t="shared" ref="G73" si="24">SUM(G74:G77)</f>
        <v>206286.96569339681</v>
      </c>
      <c r="H73" s="67">
        <f>SUM(H74:H77)</f>
        <v>220280.46430867419</v>
      </c>
      <c r="I73" s="67">
        <f>SUM(I74:I77)</f>
        <v>220280.46430867419</v>
      </c>
      <c r="J73" s="300"/>
      <c r="K73" s="371"/>
      <c r="L73" s="110"/>
      <c r="M73" s="336"/>
      <c r="N73" s="139"/>
    </row>
    <row r="74" spans="2:14" x14ac:dyDescent="0.3">
      <c r="B74" s="33" t="s">
        <v>96</v>
      </c>
      <c r="C74" s="16" t="s">
        <v>4</v>
      </c>
      <c r="D74" s="30"/>
      <c r="E74" s="267">
        <v>25</v>
      </c>
      <c r="F74" s="157">
        <v>2027.8483606557377</v>
      </c>
      <c r="G74" s="157">
        <v>2033.4041095890414</v>
      </c>
      <c r="H74" s="157">
        <v>7516.3618353218435</v>
      </c>
      <c r="I74" s="157">
        <v>7516.3618353218435</v>
      </c>
      <c r="J74" s="315"/>
      <c r="K74" s="372"/>
      <c r="L74" s="110"/>
      <c r="M74" s="363"/>
      <c r="N74" s="139"/>
    </row>
    <row r="75" spans="2:14" x14ac:dyDescent="0.3">
      <c r="B75" s="33" t="s">
        <v>97</v>
      </c>
      <c r="C75" s="16" t="s">
        <v>4</v>
      </c>
      <c r="D75" s="30"/>
      <c r="E75" s="267">
        <v>109200</v>
      </c>
      <c r="F75" s="157">
        <v>109200</v>
      </c>
      <c r="G75" s="157">
        <v>109200</v>
      </c>
      <c r="H75" s="157">
        <v>109200</v>
      </c>
      <c r="I75" s="157">
        <v>109200</v>
      </c>
      <c r="J75" s="315"/>
      <c r="K75" s="372"/>
      <c r="L75" s="110"/>
      <c r="M75" s="333"/>
      <c r="N75" s="139"/>
    </row>
    <row r="76" spans="2:14" x14ac:dyDescent="0.3">
      <c r="B76" s="33" t="s">
        <v>168</v>
      </c>
      <c r="C76" s="16" t="s">
        <v>4</v>
      </c>
      <c r="D76" s="30"/>
      <c r="E76" s="267"/>
      <c r="F76" s="188" t="s">
        <v>10</v>
      </c>
      <c r="G76" s="188" t="s">
        <v>10</v>
      </c>
      <c r="H76" s="335">
        <v>8616.0764261515451</v>
      </c>
      <c r="I76" s="335">
        <v>8616.0764261515451</v>
      </c>
      <c r="J76" s="364"/>
      <c r="K76" s="373"/>
      <c r="L76" s="110"/>
      <c r="M76" s="363"/>
      <c r="N76" s="139"/>
    </row>
    <row r="77" spans="2:14" x14ac:dyDescent="0.3">
      <c r="B77" s="33" t="s">
        <v>11</v>
      </c>
      <c r="C77" s="16" t="s">
        <v>4</v>
      </c>
      <c r="D77" s="30"/>
      <c r="E77" s="267">
        <v>83509.600000000006</v>
      </c>
      <c r="F77" s="6">
        <f>F78+F79</f>
        <v>95447.770016359704</v>
      </c>
      <c r="G77" s="6">
        <f t="shared" ref="G77:I77" si="25">G78+G79</f>
        <v>95053.56158380775</v>
      </c>
      <c r="H77" s="6">
        <f t="shared" si="25"/>
        <v>94948.026047200794</v>
      </c>
      <c r="I77" s="6">
        <f t="shared" si="25"/>
        <v>94948.026047200794</v>
      </c>
      <c r="J77" s="301"/>
      <c r="K77" s="371"/>
      <c r="L77" s="110"/>
      <c r="M77" s="363"/>
      <c r="N77" s="336"/>
    </row>
    <row r="78" spans="2:14" ht="15" x14ac:dyDescent="0.3">
      <c r="B78" s="60" t="s">
        <v>19</v>
      </c>
      <c r="C78" s="16" t="s">
        <v>4</v>
      </c>
      <c r="D78" s="30"/>
      <c r="E78" s="267">
        <v>41509.599999999999</v>
      </c>
      <c r="F78" s="279">
        <v>53447.770016359704</v>
      </c>
      <c r="G78" s="279">
        <v>53053.56158380775</v>
      </c>
      <c r="H78" s="279">
        <v>52948.026047200794</v>
      </c>
      <c r="I78" s="279">
        <v>52948.026047200794</v>
      </c>
      <c r="J78" s="315"/>
      <c r="K78" s="314"/>
      <c r="L78" s="314"/>
      <c r="M78" s="363"/>
      <c r="N78" s="336"/>
    </row>
    <row r="79" spans="2:14" ht="15" x14ac:dyDescent="0.3">
      <c r="B79" s="60" t="s">
        <v>20</v>
      </c>
      <c r="C79" s="16" t="s">
        <v>4</v>
      </c>
      <c r="D79" s="30"/>
      <c r="E79" s="267">
        <v>42000</v>
      </c>
      <c r="F79" s="279">
        <v>42000</v>
      </c>
      <c r="G79" s="279">
        <v>42000</v>
      </c>
      <c r="H79" s="279">
        <v>42000</v>
      </c>
      <c r="I79" s="279">
        <v>42000</v>
      </c>
      <c r="J79" s="315"/>
      <c r="K79" s="221"/>
      <c r="M79" s="8"/>
    </row>
    <row r="80" spans="2:14" x14ac:dyDescent="0.3">
      <c r="C80" s="20"/>
      <c r="D80" s="64"/>
      <c r="E80" s="269"/>
      <c r="F80" s="154"/>
      <c r="G80" s="154"/>
      <c r="H80" s="154"/>
      <c r="I80" s="154"/>
      <c r="J80" s="31"/>
    </row>
    <row r="81" spans="2:17" ht="29.4" customHeight="1" x14ac:dyDescent="0.3">
      <c r="B81" s="59" t="s">
        <v>123</v>
      </c>
      <c r="C81" s="15"/>
      <c r="D81" s="46"/>
      <c r="E81" s="259"/>
      <c r="F81" s="29"/>
      <c r="G81" s="29"/>
      <c r="H81" s="29"/>
      <c r="I81" s="29"/>
      <c r="J81" s="298"/>
      <c r="K81" s="81"/>
      <c r="M81" s="8"/>
    </row>
    <row r="82" spans="2:17" ht="15" customHeight="1" x14ac:dyDescent="0.3">
      <c r="B82" s="33" t="s">
        <v>156</v>
      </c>
      <c r="C82" s="16" t="s">
        <v>16</v>
      </c>
      <c r="D82" s="46"/>
      <c r="E82" s="270">
        <f>SUM(E83:E85)</f>
        <v>49721689</v>
      </c>
      <c r="F82" s="163">
        <f>SUM(F83:F85)</f>
        <v>49598784.695999995</v>
      </c>
      <c r="G82" s="163">
        <f t="shared" ref="G82" si="26">SUM(G83:G85)</f>
        <v>49065887.674000002</v>
      </c>
      <c r="H82" s="163">
        <f>SUM(H83:H86)</f>
        <v>51252939.723000005</v>
      </c>
      <c r="I82" s="163">
        <f>SUM(I83:I86)</f>
        <v>51252939.723000005</v>
      </c>
      <c r="J82" s="381"/>
      <c r="K82" s="382"/>
      <c r="M82" s="164"/>
    </row>
    <row r="83" spans="2:17" ht="13.8" customHeight="1" x14ac:dyDescent="0.3">
      <c r="B83" s="33" t="s">
        <v>101</v>
      </c>
      <c r="C83" s="16" t="s">
        <v>16</v>
      </c>
      <c r="D83" s="46"/>
      <c r="E83" s="271">
        <v>1273795</v>
      </c>
      <c r="F83" s="284">
        <v>494795</v>
      </c>
      <c r="G83" s="284">
        <v>494795</v>
      </c>
      <c r="H83" s="284">
        <v>494795</v>
      </c>
      <c r="I83" s="284">
        <v>494795</v>
      </c>
      <c r="J83" s="381"/>
      <c r="K83" s="382"/>
      <c r="M83" s="8"/>
    </row>
    <row r="84" spans="2:17" ht="15" customHeight="1" x14ac:dyDescent="0.3">
      <c r="B84" s="33" t="s">
        <v>11</v>
      </c>
      <c r="C84" s="16" t="s">
        <v>16</v>
      </c>
      <c r="D84" s="46"/>
      <c r="E84" s="271">
        <f>E90</f>
        <v>22447894</v>
      </c>
      <c r="F84" s="171">
        <f>'Calculation of SFs_Domestic'!O9</f>
        <v>21271836.953000002</v>
      </c>
      <c r="G84" s="279">
        <v>20738939.931000002</v>
      </c>
      <c r="H84" s="279">
        <v>20725991.98</v>
      </c>
      <c r="I84" s="279">
        <v>20725991.98</v>
      </c>
      <c r="J84" s="381"/>
      <c r="K84" s="382"/>
      <c r="L84" s="8"/>
    </row>
    <row r="85" spans="2:17" ht="14.4" customHeight="1" x14ac:dyDescent="0.3">
      <c r="B85" s="33" t="s">
        <v>97</v>
      </c>
      <c r="C85" s="16" t="s">
        <v>16</v>
      </c>
      <c r="D85" s="46"/>
      <c r="E85" s="271">
        <v>26000000</v>
      </c>
      <c r="F85" s="171">
        <f>'Calculation of SFs_Sakiai'!O9</f>
        <v>27832152.742999997</v>
      </c>
      <c r="G85" s="284">
        <v>27832152.743000001</v>
      </c>
      <c r="H85" s="284">
        <v>27832152.743000001</v>
      </c>
      <c r="I85" s="284">
        <v>27832152.743000001</v>
      </c>
      <c r="J85" s="381"/>
      <c r="K85" s="382"/>
    </row>
    <row r="86" spans="2:17" ht="14.4" customHeight="1" x14ac:dyDescent="0.3">
      <c r="B86" s="36" t="s">
        <v>168</v>
      </c>
      <c r="C86" s="16" t="s">
        <v>16</v>
      </c>
      <c r="D86" s="46"/>
      <c r="E86" s="271"/>
      <c r="F86" s="146" t="s">
        <v>10</v>
      </c>
      <c r="G86" s="146" t="s">
        <v>10</v>
      </c>
      <c r="H86" s="284">
        <v>2200000</v>
      </c>
      <c r="I86" s="284">
        <v>2200000</v>
      </c>
      <c r="J86" s="381"/>
      <c r="K86" s="382"/>
    </row>
    <row r="87" spans="2:17" ht="14.4" customHeight="1" x14ac:dyDescent="0.3">
      <c r="B87" s="26" t="s">
        <v>122</v>
      </c>
      <c r="C87" s="16" t="s">
        <v>4</v>
      </c>
      <c r="D87" s="63"/>
      <c r="E87" s="270">
        <f>E88+E89</f>
        <v>170745.04500000001</v>
      </c>
      <c r="F87" s="163">
        <f>F88+F89</f>
        <v>151302.34400000001</v>
      </c>
      <c r="G87" s="163">
        <f t="shared" ref="G87:I87" si="27">G88+G89</f>
        <v>151102.34400000001</v>
      </c>
      <c r="H87" s="163">
        <f t="shared" si="27"/>
        <v>151055.23300000001</v>
      </c>
      <c r="I87" s="163">
        <f t="shared" si="27"/>
        <v>151055.23300000001</v>
      </c>
      <c r="J87" s="381"/>
      <c r="K87" s="382"/>
    </row>
    <row r="88" spans="2:17" ht="14.4" customHeight="1" x14ac:dyDescent="0.3">
      <c r="B88" s="60" t="s">
        <v>19</v>
      </c>
      <c r="C88" s="16" t="s">
        <v>4</v>
      </c>
      <c r="D88" s="63"/>
      <c r="E88" s="254">
        <v>128745.04500000001</v>
      </c>
      <c r="F88" s="279">
        <v>109302.34400000001</v>
      </c>
      <c r="G88" s="279">
        <v>109102.34400000001</v>
      </c>
      <c r="H88" s="279">
        <v>109055.23300000001</v>
      </c>
      <c r="I88" s="279">
        <v>109055.23300000001</v>
      </c>
      <c r="J88" s="381"/>
      <c r="K88" s="382"/>
    </row>
    <row r="89" spans="2:17" ht="14.4" customHeight="1" x14ac:dyDescent="0.3">
      <c r="B89" s="60" t="s">
        <v>20</v>
      </c>
      <c r="C89" s="16" t="s">
        <v>4</v>
      </c>
      <c r="D89" s="63"/>
      <c r="E89" s="254">
        <v>42000</v>
      </c>
      <c r="F89" s="279">
        <v>42000</v>
      </c>
      <c r="G89" s="279">
        <v>42000</v>
      </c>
      <c r="H89" s="279">
        <v>42000</v>
      </c>
      <c r="I89" s="279">
        <v>42000</v>
      </c>
      <c r="J89" s="381"/>
      <c r="K89" s="382"/>
    </row>
    <row r="90" spans="2:17" ht="14.4" customHeight="1" x14ac:dyDescent="0.3">
      <c r="B90" s="26" t="s">
        <v>124</v>
      </c>
      <c r="C90" s="16" t="s">
        <v>16</v>
      </c>
      <c r="D90" s="63"/>
      <c r="E90" s="270">
        <f>E91+E92</f>
        <v>22447894</v>
      </c>
      <c r="F90" s="163">
        <f>ROUND(F84,0)</f>
        <v>21271837</v>
      </c>
      <c r="G90" s="163">
        <f t="shared" ref="G90:I90" si="28">ROUND(G84,0)</f>
        <v>20738940</v>
      </c>
      <c r="H90" s="163">
        <f t="shared" si="28"/>
        <v>20725992</v>
      </c>
      <c r="I90" s="163">
        <f t="shared" si="28"/>
        <v>20725992</v>
      </c>
      <c r="J90" s="381"/>
      <c r="K90" s="382"/>
      <c r="M90" s="232"/>
    </row>
    <row r="91" spans="2:17" ht="15" x14ac:dyDescent="0.3">
      <c r="B91" s="60" t="s">
        <v>19</v>
      </c>
      <c r="C91" s="16" t="s">
        <v>16</v>
      </c>
      <c r="D91" s="63"/>
      <c r="E91" s="271">
        <v>9266477</v>
      </c>
      <c r="F91" s="284">
        <v>8090420</v>
      </c>
      <c r="G91" s="284">
        <v>7557523</v>
      </c>
      <c r="H91" s="284">
        <v>7544575</v>
      </c>
      <c r="I91" s="284">
        <v>7544575</v>
      </c>
      <c r="J91" s="381"/>
      <c r="K91" s="382"/>
      <c r="L91" s="220"/>
    </row>
    <row r="92" spans="2:17" ht="15" x14ac:dyDescent="0.3">
      <c r="B92" s="60" t="s">
        <v>20</v>
      </c>
      <c r="C92" s="16" t="s">
        <v>16</v>
      </c>
      <c r="D92" s="63"/>
      <c r="E92" s="271">
        <v>13181417</v>
      </c>
      <c r="F92" s="65">
        <f>F90-F91</f>
        <v>13181417</v>
      </c>
      <c r="G92" s="65">
        <f t="shared" ref="G92:I92" si="29">G90-G91</f>
        <v>13181417</v>
      </c>
      <c r="H92" s="65">
        <f t="shared" si="29"/>
        <v>13181417</v>
      </c>
      <c r="I92" s="65">
        <f t="shared" si="29"/>
        <v>13181417</v>
      </c>
      <c r="J92" s="381"/>
      <c r="K92" s="382"/>
      <c r="L92" s="110"/>
    </row>
    <row r="93" spans="2:17" ht="15" thickBot="1" x14ac:dyDescent="0.35">
      <c r="B93" s="34"/>
      <c r="C93" s="21"/>
      <c r="D93" s="55"/>
      <c r="E93" s="269"/>
      <c r="F93" s="150"/>
      <c r="G93" s="150"/>
      <c r="H93" s="150"/>
      <c r="I93" s="150"/>
      <c r="J93" s="110"/>
      <c r="K93" s="333"/>
      <c r="L93" s="110"/>
      <c r="M93" s="110"/>
      <c r="N93" s="110"/>
      <c r="O93" s="110"/>
    </row>
    <row r="94" spans="2:17" ht="16.2" customHeight="1" x14ac:dyDescent="0.3">
      <c r="B94" s="75" t="s">
        <v>184</v>
      </c>
      <c r="C94" s="76"/>
      <c r="D94" s="77"/>
      <c r="E94" s="184" t="s">
        <v>0</v>
      </c>
      <c r="F94" s="184" t="s">
        <v>8</v>
      </c>
      <c r="G94" s="184" t="s">
        <v>159</v>
      </c>
      <c r="H94" s="184" t="s">
        <v>160</v>
      </c>
      <c r="I94" s="184" t="s">
        <v>161</v>
      </c>
      <c r="J94" s="375" t="s">
        <v>102</v>
      </c>
      <c r="K94" s="376"/>
      <c r="L94" s="375" t="s">
        <v>162</v>
      </c>
      <c r="M94" s="376"/>
      <c r="N94" s="386" t="s">
        <v>163</v>
      </c>
      <c r="O94" s="386"/>
      <c r="P94" s="375" t="s">
        <v>164</v>
      </c>
      <c r="Q94" s="393"/>
    </row>
    <row r="95" spans="2:17" ht="13.95" customHeight="1" x14ac:dyDescent="0.3">
      <c r="B95" s="78" t="s">
        <v>14</v>
      </c>
      <c r="C95" s="15"/>
      <c r="D95" s="46"/>
      <c r="E95" s="259"/>
      <c r="F95" s="152"/>
      <c r="G95" s="152"/>
      <c r="H95" s="152"/>
      <c r="I95" s="152"/>
      <c r="J95" s="310" t="s">
        <v>103</v>
      </c>
      <c r="K95" s="295" t="s">
        <v>104</v>
      </c>
      <c r="L95" s="310" t="s">
        <v>103</v>
      </c>
      <c r="M95" s="327" t="s">
        <v>104</v>
      </c>
      <c r="N95" s="295" t="s">
        <v>103</v>
      </c>
      <c r="O95" s="295" t="s">
        <v>104</v>
      </c>
      <c r="P95" s="310" t="s">
        <v>103</v>
      </c>
      <c r="Q95" s="328" t="s">
        <v>104</v>
      </c>
    </row>
    <row r="96" spans="2:17" x14ac:dyDescent="0.3">
      <c r="B96" s="79" t="s">
        <v>93</v>
      </c>
      <c r="C96" s="16" t="s">
        <v>5</v>
      </c>
      <c r="D96" s="56"/>
      <c r="E96" s="272">
        <f>(E15*E51-E99*E68/1000)/(E65+E67)*1000</f>
        <v>43.460027860471023</v>
      </c>
      <c r="F96" s="285">
        <f>F45*F51/F69*1000</f>
        <v>142.77000000000007</v>
      </c>
      <c r="G96" s="285">
        <f>G45*G51/G69*1000</f>
        <v>142.77000000000004</v>
      </c>
      <c r="H96" s="285">
        <f>H45*H51/H69*1000</f>
        <v>142.77000000000007</v>
      </c>
      <c r="I96" s="285">
        <f>I45*I51/I69*1000</f>
        <v>142.77000000000004</v>
      </c>
      <c r="J96" s="181">
        <f>ROUND(F96,2)-ROUND(E96,2)</f>
        <v>99.31</v>
      </c>
      <c r="K96" s="302">
        <f>ROUND(F96,2)/ROUND(E96,2)-1</f>
        <v>2.2850897376898298</v>
      </c>
      <c r="L96" s="181">
        <f>ROUND(G96,2)-ROUND(F96,2)</f>
        <v>0</v>
      </c>
      <c r="M96" s="302">
        <f>ROUND(G96,2)/ROUND(F96,2)-1</f>
        <v>0</v>
      </c>
      <c r="N96" s="181">
        <f>ROUND(H96,2)-ROUND(G96,2)</f>
        <v>0</v>
      </c>
      <c r="O96" s="302">
        <f>ROUND(H96,2)/ROUND(G96,2)-1</f>
        <v>0</v>
      </c>
      <c r="P96" s="181">
        <f>ROUND(I96,2)-ROUND(H96,2)</f>
        <v>0</v>
      </c>
      <c r="Q96" s="323">
        <f>ROUND(I96,2)/ROUND(H96,2)-1</f>
        <v>0</v>
      </c>
    </row>
    <row r="97" spans="2:17" x14ac:dyDescent="0.3">
      <c r="B97" s="79" t="s">
        <v>138</v>
      </c>
      <c r="C97" s="16" t="s">
        <v>5</v>
      </c>
      <c r="D97" s="56"/>
      <c r="E97" s="272" t="s">
        <v>10</v>
      </c>
      <c r="F97" s="285">
        <f>F44*F61/F72*1000</f>
        <v>35.961569615005033</v>
      </c>
      <c r="G97" s="285">
        <f>G44*G61/G72*1000</f>
        <v>31.036296290567201</v>
      </c>
      <c r="H97" s="285">
        <f>H44*H61/H72*1000</f>
        <v>29.244891719375889</v>
      </c>
      <c r="I97" s="285">
        <f>I44*I61/I72*1000</f>
        <v>29.305504604255361</v>
      </c>
      <c r="J97" s="200">
        <f>ROUND(F97,2)-ROUND(E96,2)</f>
        <v>-7.5</v>
      </c>
      <c r="K97" s="303">
        <f>ROUND(F97,2)/ROUND(E96,2)-1</f>
        <v>-0.17257248044178553</v>
      </c>
      <c r="L97" s="181">
        <f>ROUND(G97,2)-ROUND(F97,2)</f>
        <v>-4.9200000000000017</v>
      </c>
      <c r="M97" s="302">
        <f>ROUND(G97,2)/ROUND(F97,2)-1</f>
        <v>-0.13681868743047831</v>
      </c>
      <c r="N97" s="181">
        <f>ROUND(H97,2)-ROUND(G97,2)</f>
        <v>-1.8000000000000007</v>
      </c>
      <c r="O97" s="302">
        <f>ROUND(H97,2)/ROUND(G97,2)-1</f>
        <v>-5.7989690721649501E-2</v>
      </c>
      <c r="P97" s="181">
        <f t="shared" ref="P97" si="30">ROUND(I97,2)-ROUND(H97,2)</f>
        <v>7.0000000000000284E-2</v>
      </c>
      <c r="Q97" s="323">
        <f t="shared" ref="Q97:Q98" si="31">ROUND(I97,2)/ROUND(H97,2)-1</f>
        <v>2.3939808481532321E-3</v>
      </c>
    </row>
    <row r="98" spans="2:17" x14ac:dyDescent="0.3">
      <c r="B98" s="79" t="s">
        <v>94</v>
      </c>
      <c r="C98" s="16" t="s">
        <v>5</v>
      </c>
      <c r="D98" s="56"/>
      <c r="E98" s="272">
        <f>(E15*E51-E99*E68/1000)/(E65+E67)*1000</f>
        <v>43.460027860471023</v>
      </c>
      <c r="F98" s="285">
        <f>F96</f>
        <v>142.77000000000007</v>
      </c>
      <c r="G98" s="285">
        <f t="shared" ref="G98:I98" si="32">G96</f>
        <v>142.77000000000004</v>
      </c>
      <c r="H98" s="285">
        <f t="shared" si="32"/>
        <v>142.77000000000007</v>
      </c>
      <c r="I98" s="285">
        <f t="shared" si="32"/>
        <v>142.77000000000004</v>
      </c>
      <c r="J98" s="181">
        <f>ROUND(F98,2)-ROUND(E98,2)</f>
        <v>99.31</v>
      </c>
      <c r="K98" s="302">
        <f>ROUND(F98,2)/ROUND(E98,2)-1</f>
        <v>2.2850897376898298</v>
      </c>
      <c r="L98" s="181">
        <f>ROUND(G98,2)-ROUND(F98,2)</f>
        <v>0</v>
      </c>
      <c r="M98" s="302">
        <f>ROUND(G98,2)/ROUND(F98,2)-1</f>
        <v>0</v>
      </c>
      <c r="N98" s="181">
        <f>ROUND(H98,2)-ROUND(G98,2)</f>
        <v>0</v>
      </c>
      <c r="O98" s="302">
        <f>ROUND(H98,2)/ROUND(G98,2)-1</f>
        <v>0</v>
      </c>
      <c r="P98" s="181">
        <f t="shared" ref="P98:P104" si="33">ROUND(I98,2)-ROUND(H98,2)</f>
        <v>0</v>
      </c>
      <c r="Q98" s="323">
        <f t="shared" si="31"/>
        <v>0</v>
      </c>
    </row>
    <row r="99" spans="2:17" x14ac:dyDescent="0.3">
      <c r="B99" s="79" t="s">
        <v>95</v>
      </c>
      <c r="C99" s="16" t="s">
        <v>5</v>
      </c>
      <c r="D99" s="56"/>
      <c r="E99" s="272">
        <f>E15*E51/SUM(E65,E67:E68)*1000*(1-E58)</f>
        <v>9.5590039696860352</v>
      </c>
      <c r="F99" s="285">
        <f>F45*F51/F69*1000*(1-F58)</f>
        <v>35.692500000000017</v>
      </c>
      <c r="G99" s="285">
        <f>G45*G51/G69*1000*(1-G58)</f>
        <v>35.69250000000001</v>
      </c>
      <c r="H99" s="285">
        <f>H45*H51/H69*1000*(1-H58)</f>
        <v>35.692500000000017</v>
      </c>
      <c r="I99" s="285">
        <f>I45*I51/I69*1000*(1-I58)</f>
        <v>35.69250000000001</v>
      </c>
      <c r="J99" s="181">
        <f t="shared" ref="J99:J106" si="34">ROUND(F99,2)-ROUND(E99,2)</f>
        <v>26.129999999999995</v>
      </c>
      <c r="K99" s="302">
        <f>ROUND(F99,2)/ROUND(E99,2)-1</f>
        <v>2.7332635983263596</v>
      </c>
      <c r="L99" s="181">
        <f>ROUND(G99,2)-ROUND(F99,2)</f>
        <v>0</v>
      </c>
      <c r="M99" s="302">
        <f>ROUND(G99,2)/ROUND(F99,2)-1</f>
        <v>0</v>
      </c>
      <c r="N99" s="181">
        <f>ROUND(H99,2)-ROUND(G99,2)</f>
        <v>0</v>
      </c>
      <c r="O99" s="302">
        <f>ROUND(H99,2)/ROUND(G99,2)-1</f>
        <v>0</v>
      </c>
      <c r="P99" s="181">
        <f t="shared" si="33"/>
        <v>0</v>
      </c>
      <c r="Q99" s="323">
        <f t="shared" ref="Q99:Q104" si="35">ROUND(I99,2)/ROUND(H99,2)-1</f>
        <v>0</v>
      </c>
    </row>
    <row r="100" spans="2:17" x14ac:dyDescent="0.3">
      <c r="B100" s="318" t="s">
        <v>172</v>
      </c>
      <c r="C100" s="16" t="s">
        <v>5</v>
      </c>
      <c r="D100" s="56"/>
      <c r="E100" s="319" t="s">
        <v>10</v>
      </c>
      <c r="F100" s="319" t="s">
        <v>10</v>
      </c>
      <c r="G100" s="319" t="s">
        <v>10</v>
      </c>
      <c r="H100" s="285">
        <f>H96</f>
        <v>142.77000000000007</v>
      </c>
      <c r="I100" s="285">
        <f>I96</f>
        <v>142.77000000000004</v>
      </c>
      <c r="J100" s="181" t="s">
        <v>10</v>
      </c>
      <c r="K100" s="302" t="s">
        <v>10</v>
      </c>
      <c r="L100" s="181" t="s">
        <v>10</v>
      </c>
      <c r="M100" s="302" t="s">
        <v>10</v>
      </c>
      <c r="N100" s="181" t="s">
        <v>10</v>
      </c>
      <c r="O100" s="302" t="s">
        <v>10</v>
      </c>
      <c r="P100" s="181">
        <f t="shared" si="33"/>
        <v>0</v>
      </c>
      <c r="Q100" s="323">
        <f t="shared" si="35"/>
        <v>0</v>
      </c>
    </row>
    <row r="101" spans="2:17" x14ac:dyDescent="0.3">
      <c r="B101" s="79" t="s">
        <v>96</v>
      </c>
      <c r="C101" s="16" t="s">
        <v>5</v>
      </c>
      <c r="D101" s="57"/>
      <c r="E101" s="272">
        <f>(E15*E52-E102/0.66*E75/1000-E36)/SUM(E74,E77:E77)*1000</f>
        <v>152.95011664883799</v>
      </c>
      <c r="F101" s="285">
        <f>(F45*F52+(F96-F99)*F71/1000)/(F74+F77)*1000</f>
        <v>88.725017609563295</v>
      </c>
      <c r="G101" s="285">
        <f>(G45*G52+(G96-G99)*G71/1000)/(G74+G77)*1000</f>
        <v>115.6933777472756</v>
      </c>
      <c r="H101" s="285">
        <f>(H45*H52+(H96-H99)*H71/1000)/(H74+H76+H77)*1000</f>
        <v>142.85275543017062</v>
      </c>
      <c r="I101" s="285">
        <f>(I45*I52+(I96-I99)*I71/1000)/(I74+I76+I77)*1000</f>
        <v>141.26031901520128</v>
      </c>
      <c r="J101" s="181">
        <f>ROUND(F101,2)-ROUND(E101,2)</f>
        <v>-64.219999999999985</v>
      </c>
      <c r="K101" s="302">
        <f>ROUND(F101,2)/ROUND(E101,2)-1</f>
        <v>-0.4198757763975155</v>
      </c>
      <c r="L101" s="181">
        <f>ROUND(G101,2)-ROUND(F101,2)</f>
        <v>26.959999999999994</v>
      </c>
      <c r="M101" s="302">
        <f>ROUND(G101,2)/ROUND(F101,2)-1</f>
        <v>0.30384311957624255</v>
      </c>
      <c r="N101" s="181">
        <f>ROUND(H101,2)-ROUND(G101,2)</f>
        <v>27.159999999999997</v>
      </c>
      <c r="O101" s="302">
        <f>ROUND(H101,2)/ROUND(G101,2)-1</f>
        <v>0.2347653211167775</v>
      </c>
      <c r="P101" s="181">
        <f t="shared" si="33"/>
        <v>-1.5900000000000034</v>
      </c>
      <c r="Q101" s="323">
        <f t="shared" si="35"/>
        <v>-1.1130556527826463E-2</v>
      </c>
    </row>
    <row r="102" spans="2:17" x14ac:dyDescent="0.3">
      <c r="B102" s="79" t="s">
        <v>97</v>
      </c>
      <c r="C102" s="16" t="s">
        <v>5</v>
      </c>
      <c r="D102" s="57"/>
      <c r="E102" s="272">
        <f>(E16/E75*1000-E96)*0.66</f>
        <v>31.716427322226693</v>
      </c>
      <c r="F102" s="285">
        <f>F44*F62/F75*1000</f>
        <v>39.398816607562971</v>
      </c>
      <c r="G102" s="285">
        <f>G44*G62/G75*1000</f>
        <v>45.659546444073527</v>
      </c>
      <c r="H102" s="285">
        <f>H44*H62/H75*1000</f>
        <v>53.224065967205242</v>
      </c>
      <c r="I102" s="285">
        <f>I44*I62/I75*1000</f>
        <v>52.739838525275829</v>
      </c>
      <c r="J102" s="181">
        <f t="shared" si="34"/>
        <v>7.68</v>
      </c>
      <c r="K102" s="302">
        <f>ROUND(F102,2)/ROUND(E102,2)-1</f>
        <v>0.24211853720050436</v>
      </c>
      <c r="L102" s="181">
        <f>ROUND(G102,2)-ROUND(F102,2)</f>
        <v>6.259999999999998</v>
      </c>
      <c r="M102" s="302">
        <f>ROUND(G102,2)/ROUND(F102,2)-1</f>
        <v>0.15888324873096438</v>
      </c>
      <c r="N102" s="181">
        <f>ROUND(H102,2)-ROUND(G102,2)</f>
        <v>7.5600000000000023</v>
      </c>
      <c r="O102" s="302">
        <f>ROUND(H102,2)/ROUND(G102,2)-1</f>
        <v>0.16557161629434969</v>
      </c>
      <c r="P102" s="181">
        <f t="shared" si="33"/>
        <v>-0.47999999999999687</v>
      </c>
      <c r="Q102" s="323">
        <f t="shared" si="35"/>
        <v>-9.0191657271702086E-3</v>
      </c>
    </row>
    <row r="103" spans="2:17" x14ac:dyDescent="0.3">
      <c r="B103" s="318" t="s">
        <v>173</v>
      </c>
      <c r="C103" s="16" t="s">
        <v>5</v>
      </c>
      <c r="D103" s="57"/>
      <c r="E103" s="319" t="s">
        <v>10</v>
      </c>
      <c r="F103" s="319" t="s">
        <v>10</v>
      </c>
      <c r="G103" s="319" t="s">
        <v>10</v>
      </c>
      <c r="H103" s="285">
        <f>H101</f>
        <v>142.85275543017062</v>
      </c>
      <c r="I103" s="285">
        <f>I101</f>
        <v>141.26031901520128</v>
      </c>
      <c r="J103" s="181" t="s">
        <v>10</v>
      </c>
      <c r="K103" s="302" t="s">
        <v>10</v>
      </c>
      <c r="L103" s="302" t="s">
        <v>10</v>
      </c>
      <c r="M103" s="302" t="s">
        <v>10</v>
      </c>
      <c r="N103" s="302" t="s">
        <v>10</v>
      </c>
      <c r="O103" s="302" t="s">
        <v>10</v>
      </c>
      <c r="P103" s="181">
        <f t="shared" si="33"/>
        <v>-1.5900000000000034</v>
      </c>
      <c r="Q103" s="323">
        <f t="shared" si="35"/>
        <v>-1.1130556527826463E-2</v>
      </c>
    </row>
    <row r="104" spans="2:17" x14ac:dyDescent="0.3">
      <c r="B104" s="79" t="s">
        <v>171</v>
      </c>
      <c r="C104" s="16" t="s">
        <v>5</v>
      </c>
      <c r="D104" s="56"/>
      <c r="E104" s="272">
        <v>74.287470655926327</v>
      </c>
      <c r="F104" s="285">
        <f>(F45*F52+(F96-F99)*F71/1000)/(F74+F77)*1000+F23/F77*1000</f>
        <v>57.24344050725864</v>
      </c>
      <c r="G104" s="285">
        <f>(G45*G52+(G96-G99)*G71/1000)/(G74+G77)*1000+G23/G77*1000</f>
        <v>115.6933777472756</v>
      </c>
      <c r="H104" s="285">
        <f>(H45*H52+(H96-H99)*H71/1000)/(H74+H76+H77)*1000+H23/H77*1000</f>
        <v>142.85275543017062</v>
      </c>
      <c r="I104" s="285">
        <f>(I45*I52+(I96-I99)*I71/1000)/(I74+I76+I77)*1000+I23/I77*1000</f>
        <v>141.26031901520128</v>
      </c>
      <c r="J104" s="181">
        <f>ROUND(F104,2)-ROUND(E104,2)</f>
        <v>-17.050000000000004</v>
      </c>
      <c r="K104" s="302">
        <f>ROUND(F104,2)/ROUND(E104,2)-1</f>
        <v>-0.22950599003903627</v>
      </c>
      <c r="L104" s="181">
        <f>ROUND(G104,2)-ROUND(F104,2)</f>
        <v>58.449999999999996</v>
      </c>
      <c r="M104" s="302">
        <f>ROUND(G104,2)/ROUND(F104,2)-1</f>
        <v>1.0211390635918938</v>
      </c>
      <c r="N104" s="181">
        <f>ROUND(H104,2)-ROUND(G104,2)</f>
        <v>27.159999999999997</v>
      </c>
      <c r="O104" s="302">
        <f>ROUND(H104,2)/ROUND(G104,2)-1</f>
        <v>0.2347653211167775</v>
      </c>
      <c r="P104" s="181">
        <f t="shared" si="33"/>
        <v>-1.5900000000000034</v>
      </c>
      <c r="Q104" s="323">
        <f t="shared" si="35"/>
        <v>-1.1130556527826463E-2</v>
      </c>
    </row>
    <row r="105" spans="2:17" ht="15" x14ac:dyDescent="0.3">
      <c r="B105" s="197" t="s">
        <v>178</v>
      </c>
      <c r="C105" s="198" t="s">
        <v>5</v>
      </c>
      <c r="D105" s="199"/>
      <c r="E105" s="273">
        <v>101.60037552122736</v>
      </c>
      <c r="F105" s="288">
        <f>F104</f>
        <v>57.24344050725864</v>
      </c>
      <c r="G105" s="288">
        <f t="shared" ref="G105:I105" si="36">G104</f>
        <v>115.6933777472756</v>
      </c>
      <c r="H105" s="288">
        <f t="shared" si="36"/>
        <v>142.85275543017062</v>
      </c>
      <c r="I105" s="288">
        <f t="shared" si="36"/>
        <v>141.26031901520128</v>
      </c>
      <c r="J105" s="200">
        <f t="shared" si="34"/>
        <v>-44.359999999999992</v>
      </c>
      <c r="K105" s="303">
        <f t="shared" ref="K105:K106" si="37">ROUND(F105,2)/ROUND(E105,2)-1</f>
        <v>-0.43661417322834639</v>
      </c>
      <c r="L105" s="200">
        <f>ROUND(G105,2)-ROUND(F105,2)</f>
        <v>58.449999999999996</v>
      </c>
      <c r="M105" s="303">
        <f>ROUND(G105,2)/ROUND(F105,2)-1</f>
        <v>1.0211390635918938</v>
      </c>
      <c r="N105" s="200">
        <f>ROUND(H105,2)-ROUND(G105,2)</f>
        <v>27.159999999999997</v>
      </c>
      <c r="O105" s="303">
        <f>ROUND(H105,2)/ROUND(G105,2)-1</f>
        <v>0.2347653211167775</v>
      </c>
      <c r="P105" s="200">
        <f t="shared" ref="P105:P106" si="38">ROUND(I105,2)-ROUND(H105,2)</f>
        <v>-1.5900000000000034</v>
      </c>
      <c r="Q105" s="324">
        <f t="shared" ref="Q105:Q106" si="39">ROUND(I105,2)/ROUND(H105,2)-1</f>
        <v>-1.1130556527826463E-2</v>
      </c>
    </row>
    <row r="106" spans="2:17" ht="15" x14ac:dyDescent="0.3">
      <c r="B106" s="197" t="s">
        <v>179</v>
      </c>
      <c r="C106" s="198" t="s">
        <v>5</v>
      </c>
      <c r="D106" s="199"/>
      <c r="E106" s="273">
        <v>47.293476470290571</v>
      </c>
      <c r="F106" s="288">
        <f>F104</f>
        <v>57.24344050725864</v>
      </c>
      <c r="G106" s="288">
        <f t="shared" ref="G106:I106" si="40">G104</f>
        <v>115.6933777472756</v>
      </c>
      <c r="H106" s="288">
        <f t="shared" si="40"/>
        <v>142.85275543017062</v>
      </c>
      <c r="I106" s="288">
        <f t="shared" si="40"/>
        <v>141.26031901520128</v>
      </c>
      <c r="J106" s="200">
        <f t="shared" si="34"/>
        <v>9.9500000000000028</v>
      </c>
      <c r="K106" s="303">
        <f t="shared" si="37"/>
        <v>0.2104038908860224</v>
      </c>
      <c r="L106" s="200">
        <f>ROUND(G106,2)-ROUND(F106,2)</f>
        <v>58.449999999999996</v>
      </c>
      <c r="M106" s="303">
        <f>ROUND(G106,2)/ROUND(F106,2)-1</f>
        <v>1.0211390635918938</v>
      </c>
      <c r="N106" s="200">
        <f>ROUND(H106,2)-ROUND(G106,2)</f>
        <v>27.159999999999997</v>
      </c>
      <c r="O106" s="303">
        <f>ROUND(H106,2)/ROUND(G106,2)-1</f>
        <v>0.2347653211167775</v>
      </c>
      <c r="P106" s="200">
        <f t="shared" si="38"/>
        <v>-1.5900000000000034</v>
      </c>
      <c r="Q106" s="324">
        <f t="shared" si="39"/>
        <v>-1.1130556527826463E-2</v>
      </c>
    </row>
    <row r="107" spans="2:17" ht="15" thickBot="1" x14ac:dyDescent="0.35">
      <c r="B107" s="197"/>
      <c r="C107" s="198"/>
      <c r="D107" s="199"/>
      <c r="E107" s="225"/>
      <c r="F107" s="225"/>
      <c r="G107" s="225"/>
      <c r="H107" s="225"/>
      <c r="I107" s="225"/>
      <c r="J107" s="226"/>
      <c r="K107" s="304"/>
      <c r="L107" s="304"/>
      <c r="M107" s="304"/>
      <c r="N107" s="304"/>
      <c r="O107" s="304"/>
      <c r="P107" s="304"/>
      <c r="Q107" s="331"/>
    </row>
    <row r="108" spans="2:17" ht="17.399999999999999" customHeight="1" x14ac:dyDescent="0.3">
      <c r="B108" s="78" t="s">
        <v>126</v>
      </c>
      <c r="C108" s="15"/>
      <c r="D108" s="46"/>
      <c r="E108" s="235" t="s">
        <v>0</v>
      </c>
      <c r="F108" s="235" t="s">
        <v>8</v>
      </c>
      <c r="G108" s="184" t="s">
        <v>159</v>
      </c>
      <c r="H108" s="184" t="s">
        <v>160</v>
      </c>
      <c r="I108" s="184" t="s">
        <v>161</v>
      </c>
      <c r="J108" s="379" t="s">
        <v>102</v>
      </c>
      <c r="K108" s="389"/>
      <c r="L108" s="379" t="s">
        <v>162</v>
      </c>
      <c r="M108" s="389"/>
      <c r="N108" s="377" t="s">
        <v>163</v>
      </c>
      <c r="O108" s="377"/>
      <c r="P108" s="379" t="s">
        <v>164</v>
      </c>
      <c r="Q108" s="380"/>
    </row>
    <row r="109" spans="2:17" x14ac:dyDescent="0.3">
      <c r="B109" s="78"/>
      <c r="C109" s="15"/>
      <c r="D109" s="46"/>
      <c r="E109" s="259"/>
      <c r="F109" s="152"/>
      <c r="G109" s="152"/>
      <c r="H109" s="152"/>
      <c r="I109" s="152"/>
      <c r="J109" s="310" t="s">
        <v>103</v>
      </c>
      <c r="K109" s="311" t="s">
        <v>104</v>
      </c>
      <c r="L109" s="310" t="s">
        <v>103</v>
      </c>
      <c r="M109" s="327" t="s">
        <v>104</v>
      </c>
      <c r="N109" s="311" t="s">
        <v>103</v>
      </c>
      <c r="O109" s="311" t="s">
        <v>104</v>
      </c>
      <c r="P109" s="310" t="s">
        <v>103</v>
      </c>
      <c r="Q109" s="328" t="s">
        <v>104</v>
      </c>
    </row>
    <row r="110" spans="2:17" x14ac:dyDescent="0.3">
      <c r="B110" s="79" t="s">
        <v>96</v>
      </c>
      <c r="C110" s="16" t="s">
        <v>12</v>
      </c>
      <c r="D110" s="56"/>
      <c r="E110" s="274">
        <v>0</v>
      </c>
      <c r="F110" s="285">
        <f>F124</f>
        <v>5.5493940363058436E-2</v>
      </c>
      <c r="G110" s="285">
        <f t="shared" ref="G110:I110" si="41">G124</f>
        <v>6.169138223298655E-2</v>
      </c>
      <c r="H110" s="285">
        <f t="shared" si="41"/>
        <v>7.282572553821616E-2</v>
      </c>
      <c r="I110" s="285">
        <f t="shared" si="41"/>
        <v>7.2341965133029415E-2</v>
      </c>
      <c r="J110" s="181">
        <f>ROUND(F110,2)-ROUND(E110,2)</f>
        <v>0.06</v>
      </c>
      <c r="K110" s="302" t="s">
        <v>10</v>
      </c>
      <c r="L110" s="181">
        <f>ROUND(G110,2)-ROUND(F110,2)</f>
        <v>0</v>
      </c>
      <c r="M110" s="302">
        <f>ROUND(G110,2)/ROUND(F110,2)-1</f>
        <v>0</v>
      </c>
      <c r="N110" s="181">
        <f>ROUND(H110,2)-ROUND(G110,2)</f>
        <v>1.0000000000000009E-2</v>
      </c>
      <c r="O110" s="302">
        <f>ROUND(H110,2)/ROUND(G110,2)-1</f>
        <v>0.16666666666666674</v>
      </c>
      <c r="P110" s="181">
        <f>ROUND(I110,2)-ROUND(H110,2)</f>
        <v>0</v>
      </c>
      <c r="Q110" s="323">
        <f>ROUND(I110,2)/ROUND(H110,2)-1</f>
        <v>0</v>
      </c>
    </row>
    <row r="111" spans="2:17" x14ac:dyDescent="0.3">
      <c r="B111" s="79" t="s">
        <v>97</v>
      </c>
      <c r="C111" s="16" t="s">
        <v>12</v>
      </c>
      <c r="D111" s="56"/>
      <c r="E111" s="274">
        <f>(E16/E75*1000-E96-E102)*E75/E85</f>
        <v>6.8622815478999566E-2</v>
      </c>
      <c r="F111" s="285">
        <f>F124</f>
        <v>5.5493940363058436E-2</v>
      </c>
      <c r="G111" s="285">
        <f t="shared" ref="G111:I111" si="42">G124</f>
        <v>6.169138223298655E-2</v>
      </c>
      <c r="H111" s="285">
        <f t="shared" si="42"/>
        <v>7.282572553821616E-2</v>
      </c>
      <c r="I111" s="285">
        <f t="shared" si="42"/>
        <v>7.2341965133029415E-2</v>
      </c>
      <c r="J111" s="181">
        <f>ROUND(F111,2)-ROUND(E111,2)</f>
        <v>-1.0000000000000009E-2</v>
      </c>
      <c r="K111" s="302">
        <f>ROUND(F111,2)/ROUND(E111,2)-1</f>
        <v>-0.14285714285714302</v>
      </c>
      <c r="L111" s="181">
        <f>ROUND(G111,2)-ROUND(F111,2)</f>
        <v>0</v>
      </c>
      <c r="M111" s="302">
        <f>ROUND(G111,2)/ROUND(F111,2)-1</f>
        <v>0</v>
      </c>
      <c r="N111" s="181">
        <f>ROUND(H111,2)-ROUND(G111,2)</f>
        <v>1.0000000000000009E-2</v>
      </c>
      <c r="O111" s="302">
        <f>ROUND(H111,2)/ROUND(G111,2)-1</f>
        <v>0.16666666666666674</v>
      </c>
      <c r="P111" s="181">
        <f>ROUND(I111,2)-ROUND(H111,2)</f>
        <v>0</v>
      </c>
      <c r="Q111" s="323">
        <f>ROUND(I111,2)/ROUND(H111,2)-1</f>
        <v>0</v>
      </c>
    </row>
    <row r="112" spans="2:17" x14ac:dyDescent="0.3">
      <c r="B112" s="318" t="s">
        <v>173</v>
      </c>
      <c r="C112" s="16" t="s">
        <v>12</v>
      </c>
      <c r="D112" s="56"/>
      <c r="E112" s="319" t="s">
        <v>10</v>
      </c>
      <c r="F112" s="319" t="s">
        <v>10</v>
      </c>
      <c r="G112" s="319" t="s">
        <v>10</v>
      </c>
      <c r="H112" s="285">
        <f>H124</f>
        <v>7.282572553821616E-2</v>
      </c>
      <c r="I112" s="285">
        <f>I124</f>
        <v>7.2341965133029415E-2</v>
      </c>
      <c r="J112" s="181" t="s">
        <v>10</v>
      </c>
      <c r="K112" s="302" t="s">
        <v>10</v>
      </c>
      <c r="L112" s="302" t="s">
        <v>10</v>
      </c>
      <c r="M112" s="302" t="s">
        <v>10</v>
      </c>
      <c r="N112" s="302" t="s">
        <v>10</v>
      </c>
      <c r="O112" s="302" t="s">
        <v>10</v>
      </c>
      <c r="P112" s="181">
        <f>ROUND(I112,2)-ROUND(H112,2)</f>
        <v>0</v>
      </c>
      <c r="Q112" s="323">
        <f>ROUND(I112,2)/ROUND(H112,2)-1</f>
        <v>0</v>
      </c>
    </row>
    <row r="113" spans="2:17" ht="15" x14ac:dyDescent="0.3">
      <c r="B113" s="79" t="s">
        <v>132</v>
      </c>
      <c r="C113" s="16" t="s">
        <v>12</v>
      </c>
      <c r="D113" s="56"/>
      <c r="E113" s="274">
        <f>E127</f>
        <v>0.68658608245486952</v>
      </c>
      <c r="F113" s="285">
        <f>IF(F56=0%,F127,F124+F127)</f>
        <v>0.73545229897186171</v>
      </c>
      <c r="G113" s="285">
        <f>IF(G56=0%,G127,G124+G127)</f>
        <v>1.1480651428710962</v>
      </c>
      <c r="H113" s="285">
        <f>IF(H56=0%,H127,H124+H127)</f>
        <v>1.1865328870585008</v>
      </c>
      <c r="I113" s="285">
        <f>IF(I56=0%,I127,I124+I127)</f>
        <v>1.1808427751282433</v>
      </c>
      <c r="J113" s="181">
        <f t="shared" ref="J113:J114" si="43">ROUND(F113,2)-ROUND(E113,2)</f>
        <v>5.0000000000000044E-2</v>
      </c>
      <c r="K113" s="302">
        <f t="shared" ref="K113:K114" si="44">ROUND(F113,2)/ROUND(E113,2)-1</f>
        <v>7.2463768115942129E-2</v>
      </c>
      <c r="L113" s="181">
        <f>ROUND(G113,2)-ROUND(F113,2)</f>
        <v>0.40999999999999992</v>
      </c>
      <c r="M113" s="302">
        <f>ROUND(G113,2)/ROUND(F113,2)-1</f>
        <v>0.55405405405405395</v>
      </c>
      <c r="N113" s="181">
        <f>ROUND(H113,2)-ROUND(G113,2)</f>
        <v>4.0000000000000036E-2</v>
      </c>
      <c r="O113" s="302">
        <f>ROUND(H113,2)/ROUND(G113,2)-1</f>
        <v>3.4782608695652195E-2</v>
      </c>
      <c r="P113" s="181">
        <f>ROUND(I113,2)-ROUND(H113,2)</f>
        <v>-1.0000000000000009E-2</v>
      </c>
      <c r="Q113" s="323">
        <f>ROUND(I113,2)/ROUND(H113,2)-1</f>
        <v>-8.4033613445377853E-3</v>
      </c>
    </row>
    <row r="114" spans="2:17" ht="15" x14ac:dyDescent="0.3">
      <c r="B114" s="79" t="s">
        <v>133</v>
      </c>
      <c r="C114" s="16" t="s">
        <v>12</v>
      </c>
      <c r="D114" s="56"/>
      <c r="E114" s="274">
        <f>E128</f>
        <v>0.18131803128346102</v>
      </c>
      <c r="F114" s="285">
        <f>IF(F56=0%,F128,F124+F128)</f>
        <v>7.6438536975903582E-2</v>
      </c>
      <c r="G114" s="285">
        <f>IF(G56=0%,G128,G124+G128)</f>
        <v>9.2950546357338293E-2</v>
      </c>
      <c r="H114" s="285">
        <f>IF(H56=0%,H128,H124+H128)</f>
        <v>0.10481647452814838</v>
      </c>
      <c r="I114" s="285">
        <f>IF(I56=0%,I128,I124+I128)</f>
        <v>0.10418316396242883</v>
      </c>
      <c r="J114" s="181">
        <f t="shared" si="43"/>
        <v>-9.9999999999999992E-2</v>
      </c>
      <c r="K114" s="302">
        <f t="shared" si="44"/>
        <v>-0.55555555555555558</v>
      </c>
      <c r="L114" s="181">
        <f>ROUND(G114,2)-ROUND(F114,2)</f>
        <v>9.999999999999995E-3</v>
      </c>
      <c r="M114" s="302">
        <f>ROUND(G114,2)/ROUND(F114,2)-1</f>
        <v>0.125</v>
      </c>
      <c r="N114" s="181">
        <f>ROUND(H114,2)-ROUND(G114,2)</f>
        <v>1.0000000000000009E-2</v>
      </c>
      <c r="O114" s="302">
        <f>ROUND(H114,2)/ROUND(G114,2)-1</f>
        <v>0.11111111111111116</v>
      </c>
      <c r="P114" s="181">
        <f>ROUND(I114,2)-ROUND(H114,2)</f>
        <v>0</v>
      </c>
      <c r="Q114" s="323">
        <f>ROUND(I114,2)/ROUND(H114,2)-1</f>
        <v>0</v>
      </c>
    </row>
    <row r="115" spans="2:17" ht="15" thickBot="1" x14ac:dyDescent="0.35">
      <c r="B115" s="79"/>
      <c r="C115" s="16"/>
      <c r="D115" s="56"/>
      <c r="E115" s="275"/>
      <c r="F115" s="227"/>
      <c r="G115" s="227"/>
      <c r="H115" s="227"/>
      <c r="I115" s="227"/>
      <c r="J115" s="227"/>
      <c r="K115" s="227"/>
      <c r="L115" s="227"/>
      <c r="M115" s="227"/>
      <c r="N115" s="227"/>
      <c r="O115" s="227"/>
      <c r="P115" s="227"/>
      <c r="Q115" s="332"/>
    </row>
    <row r="116" spans="2:17" ht="15.6" customHeight="1" x14ac:dyDescent="0.3">
      <c r="B116" s="78" t="s">
        <v>127</v>
      </c>
      <c r="C116" s="15"/>
      <c r="D116" s="46"/>
      <c r="E116" s="184" t="s">
        <v>0</v>
      </c>
      <c r="F116" s="184" t="s">
        <v>8</v>
      </c>
      <c r="G116" s="184" t="s">
        <v>159</v>
      </c>
      <c r="H116" s="184" t="s">
        <v>160</v>
      </c>
      <c r="I116" s="184" t="s">
        <v>161</v>
      </c>
      <c r="J116" s="379" t="s">
        <v>102</v>
      </c>
      <c r="K116" s="389"/>
      <c r="L116" s="379" t="s">
        <v>162</v>
      </c>
      <c r="M116" s="389"/>
      <c r="N116" s="377" t="s">
        <v>163</v>
      </c>
      <c r="O116" s="377"/>
      <c r="P116" s="379" t="s">
        <v>164</v>
      </c>
      <c r="Q116" s="380"/>
    </row>
    <row r="117" spans="2:17" x14ac:dyDescent="0.3">
      <c r="B117" s="78"/>
      <c r="C117" s="15"/>
      <c r="D117" s="46"/>
      <c r="E117" s="259"/>
      <c r="F117" s="29"/>
      <c r="G117" s="29"/>
      <c r="H117" s="29"/>
      <c r="I117" s="29"/>
      <c r="J117" s="310" t="s">
        <v>103</v>
      </c>
      <c r="K117" s="327" t="s">
        <v>104</v>
      </c>
      <c r="L117" s="310" t="s">
        <v>103</v>
      </c>
      <c r="M117" s="327" t="s">
        <v>104</v>
      </c>
      <c r="N117" s="326" t="s">
        <v>103</v>
      </c>
      <c r="O117" s="326" t="s">
        <v>104</v>
      </c>
      <c r="P117" s="310" t="s">
        <v>103</v>
      </c>
      <c r="Q117" s="328" t="s">
        <v>104</v>
      </c>
    </row>
    <row r="118" spans="2:17" ht="15" x14ac:dyDescent="0.3">
      <c r="B118" s="79" t="s">
        <v>134</v>
      </c>
      <c r="C118" s="16" t="s">
        <v>5</v>
      </c>
      <c r="D118" s="56"/>
      <c r="E118" s="272">
        <f>E19/(E88+E89)*1000</f>
        <v>63.170029326473269</v>
      </c>
      <c r="F118" s="285">
        <f>(F33-(F32*F20))/F88*1000</f>
        <v>50.329649871514505</v>
      </c>
      <c r="G118" s="285">
        <f>(G33-(G32*G20))/G88*1000</f>
        <v>75.253146555852254</v>
      </c>
      <c r="H118" s="285">
        <f>(H33-(H32*H20))/H88*1000</f>
        <v>77.047629691707712</v>
      </c>
      <c r="I118" s="285">
        <f>(I33-(I32*I20))/I88*1000</f>
        <v>76.6874478968803</v>
      </c>
      <c r="J118" s="181">
        <f>ROUND(F118,2)-ROUND(E118,2)</f>
        <v>-12.840000000000003</v>
      </c>
      <c r="K118" s="302">
        <f>ROUND(F118,2)/ROUND(E118,2)-1</f>
        <v>-0.20326104163368697</v>
      </c>
      <c r="L118" s="181">
        <f>ROUND(G118,2)-ROUND(F118,2)</f>
        <v>24.92</v>
      </c>
      <c r="M118" s="302">
        <f>ROUND(G118,2)/ROUND(F118,2)-1</f>
        <v>0.49513212795549388</v>
      </c>
      <c r="N118" s="181">
        <f>ROUND(H118,2)-ROUND(G118,2)</f>
        <v>1.7999999999999972</v>
      </c>
      <c r="O118" s="302">
        <f>ROUND(H118,2)/ROUND(G118,2)-1</f>
        <v>2.392026578073092E-2</v>
      </c>
      <c r="P118" s="181">
        <f>ROUND(I118,2)-ROUND(H118,2)</f>
        <v>-0.35999999999999943</v>
      </c>
      <c r="Q118" s="323">
        <f>ROUND(I118,2)/ROUND(H118,2)-1</f>
        <v>-4.6722907203115005E-3</v>
      </c>
    </row>
    <row r="119" spans="2:17" ht="17.399999999999999" customHeight="1" thickBot="1" x14ac:dyDescent="0.35">
      <c r="B119" s="155" t="s">
        <v>135</v>
      </c>
      <c r="C119" s="182" t="s">
        <v>5</v>
      </c>
      <c r="D119" s="233"/>
      <c r="E119" s="276">
        <f>E118</f>
        <v>63.170029326473269</v>
      </c>
      <c r="F119" s="286">
        <f>F32*F20/F89*1000</f>
        <v>6.5733205202547467</v>
      </c>
      <c r="G119" s="286">
        <f>G32*G20/G89*1000</f>
        <v>9.8104780332028607</v>
      </c>
      <c r="H119" s="286">
        <f>H32*H20/H89*1000</f>
        <v>10.040081013776796</v>
      </c>
      <c r="I119" s="286">
        <f>I32*I20/I89*1000</f>
        <v>9.9931457035768005</v>
      </c>
      <c r="J119" s="183">
        <f>ROUND(F119,2)-ROUND(E119,2)</f>
        <v>-56.6</v>
      </c>
      <c r="K119" s="305">
        <f>ROUND(F119,2)/ROUND(E119,2)-1</f>
        <v>-0.89599493430425836</v>
      </c>
      <c r="L119" s="183">
        <f>ROUND(G119,2)-ROUND(F119,2)</f>
        <v>3.24</v>
      </c>
      <c r="M119" s="305">
        <f>ROUND(G119,2)/ROUND(F119,2)-1</f>
        <v>0.49315068493150682</v>
      </c>
      <c r="N119" s="183">
        <f>ROUND(H119,2)-ROUND(G119,2)</f>
        <v>0.22999999999999865</v>
      </c>
      <c r="O119" s="305">
        <f>ROUND(H119,2)/ROUND(G119,2)-1</f>
        <v>2.3445463812436174E-2</v>
      </c>
      <c r="P119" s="183">
        <f>ROUND(I119,2)-ROUND(H119,2)</f>
        <v>-4.9999999999998934E-2</v>
      </c>
      <c r="Q119" s="325">
        <f>ROUND(I119,2)/ROUND(H119,2)-1</f>
        <v>-4.980079681274785E-3</v>
      </c>
    </row>
    <row r="120" spans="2:17" x14ac:dyDescent="0.3">
      <c r="B120" s="385"/>
      <c r="C120" s="385"/>
      <c r="D120" s="385"/>
      <c r="E120" s="385"/>
      <c r="F120" s="385"/>
      <c r="G120" s="385"/>
      <c r="H120" s="385"/>
      <c r="I120" s="385"/>
      <c r="J120" s="385"/>
      <c r="K120" s="385"/>
      <c r="L120" s="306"/>
      <c r="M120" s="308"/>
      <c r="N120" s="307"/>
      <c r="O120" s="307"/>
    </row>
    <row r="121" spans="2:17" x14ac:dyDescent="0.3">
      <c r="B121" s="392"/>
      <c r="C121" s="392"/>
      <c r="D121" s="392"/>
      <c r="E121" s="392"/>
      <c r="F121" s="392"/>
      <c r="G121" s="392"/>
      <c r="H121" s="392"/>
      <c r="I121" s="392"/>
      <c r="J121" s="392"/>
      <c r="K121" s="392"/>
      <c r="L121" s="306"/>
      <c r="M121" s="309"/>
      <c r="N121" s="307"/>
      <c r="O121" s="307"/>
    </row>
    <row r="122" spans="2:17" ht="15.6" customHeight="1" x14ac:dyDescent="0.3">
      <c r="B122" s="203" t="s">
        <v>129</v>
      </c>
      <c r="C122" s="365"/>
      <c r="D122" s="320"/>
      <c r="E122" s="367" t="s">
        <v>0</v>
      </c>
      <c r="F122" s="367" t="s">
        <v>8</v>
      </c>
      <c r="G122" s="367" t="s">
        <v>159</v>
      </c>
      <c r="H122" s="367" t="s">
        <v>160</v>
      </c>
      <c r="I122" s="367" t="s">
        <v>161</v>
      </c>
      <c r="J122" s="379" t="s">
        <v>102</v>
      </c>
      <c r="K122" s="389"/>
      <c r="L122" s="379" t="s">
        <v>162</v>
      </c>
      <c r="M122" s="389"/>
      <c r="N122" s="377" t="s">
        <v>163</v>
      </c>
      <c r="O122" s="377"/>
      <c r="P122" s="379" t="s">
        <v>164</v>
      </c>
      <c r="Q122" s="389"/>
    </row>
    <row r="123" spans="2:17" x14ac:dyDescent="0.3">
      <c r="B123" s="204" t="s">
        <v>128</v>
      </c>
      <c r="C123" s="366"/>
      <c r="D123" s="199"/>
      <c r="E123" s="368"/>
      <c r="F123" s="369"/>
      <c r="G123" s="369"/>
      <c r="H123" s="369"/>
      <c r="I123" s="370"/>
      <c r="J123" s="311" t="s">
        <v>103</v>
      </c>
      <c r="K123" s="311" t="s">
        <v>104</v>
      </c>
      <c r="L123" s="310" t="s">
        <v>103</v>
      </c>
      <c r="M123" s="327" t="s">
        <v>104</v>
      </c>
      <c r="N123" s="311" t="s">
        <v>103</v>
      </c>
      <c r="O123" s="311" t="s">
        <v>104</v>
      </c>
      <c r="P123" s="310" t="s">
        <v>103</v>
      </c>
      <c r="Q123" s="327" t="s">
        <v>104</v>
      </c>
    </row>
    <row r="124" spans="2:17" x14ac:dyDescent="0.3">
      <c r="B124" s="229" t="s">
        <v>136</v>
      </c>
      <c r="C124" s="16" t="s">
        <v>12</v>
      </c>
      <c r="D124" s="56"/>
      <c r="E124" s="274" t="s">
        <v>10</v>
      </c>
      <c r="F124" s="287">
        <f>IF(F56=0%,"N/A",F56*F40/(F82/1000))</f>
        <v>5.5493940363058436E-2</v>
      </c>
      <c r="G124" s="287">
        <f>IF(G56=0%,"N/A",G56*G40/(G82/1000))</f>
        <v>6.169138223298655E-2</v>
      </c>
      <c r="H124" s="287">
        <f>IF(H56=0%,"N/A",H56*H40/(H82/1000))</f>
        <v>7.282572553821616E-2</v>
      </c>
      <c r="I124" s="287">
        <f>IF(I56=0%,"N/A",I56*I40/(I82/1000))</f>
        <v>7.2341965133029415E-2</v>
      </c>
      <c r="J124" s="181" t="s">
        <v>10</v>
      </c>
      <c r="K124" s="302" t="s">
        <v>10</v>
      </c>
      <c r="L124" s="181">
        <f>ROUND(G124,2)-ROUND(F124,2)</f>
        <v>0</v>
      </c>
      <c r="M124" s="302">
        <f>ROUND(G124,2)/ROUND(F124,2)-1</f>
        <v>0</v>
      </c>
      <c r="N124" s="181">
        <f>ROUND(H124,2)-ROUND(G124,2)</f>
        <v>1.0000000000000009E-2</v>
      </c>
      <c r="O124" s="302">
        <f>ROUND(H124,2)/ROUND(G124,2)-1</f>
        <v>0.16666666666666674</v>
      </c>
      <c r="P124" s="181">
        <f>ROUND(I124,2)-ROUND(H124,2)</f>
        <v>0</v>
      </c>
      <c r="Q124" s="180">
        <f>ROUND(I124,2)/ROUND(H124,2)-1</f>
        <v>0</v>
      </c>
    </row>
    <row r="125" spans="2:17" x14ac:dyDescent="0.3">
      <c r="B125" s="229"/>
      <c r="C125" s="16"/>
      <c r="D125" s="56"/>
      <c r="E125" s="275"/>
      <c r="F125" s="228"/>
      <c r="G125" s="228"/>
      <c r="H125" s="228"/>
      <c r="I125" s="228"/>
      <c r="J125" s="329"/>
      <c r="K125" s="228"/>
      <c r="L125" s="228"/>
      <c r="M125" s="228"/>
      <c r="N125" s="228"/>
      <c r="O125" s="228"/>
      <c r="P125" s="228"/>
      <c r="Q125" s="322"/>
    </row>
    <row r="126" spans="2:17" x14ac:dyDescent="0.3">
      <c r="B126" s="204" t="s">
        <v>158</v>
      </c>
      <c r="C126" s="366"/>
      <c r="D126" s="199"/>
      <c r="E126" s="277"/>
      <c r="F126" s="225"/>
      <c r="G126" s="225"/>
      <c r="H126" s="225"/>
      <c r="I126" s="225"/>
      <c r="J126" s="330"/>
      <c r="K126" s="225"/>
      <c r="L126" s="225"/>
      <c r="M126" s="225"/>
      <c r="N126" s="225"/>
      <c r="O126" s="225"/>
      <c r="P126" s="225"/>
      <c r="Q126" s="321"/>
    </row>
    <row r="127" spans="2:17" ht="15" x14ac:dyDescent="0.3">
      <c r="B127" s="229" t="s">
        <v>131</v>
      </c>
      <c r="C127" s="16" t="s">
        <v>12</v>
      </c>
      <c r="D127" s="56"/>
      <c r="E127" s="278">
        <v>0.68658608245486952</v>
      </c>
      <c r="F127" s="287">
        <f>(F31-F33-F32*(1-F20))/F91*1000</f>
        <v>0.67995835860880327</v>
      </c>
      <c r="G127" s="287">
        <f>(G31-G33-G32*(1-G20))/G91*1000</f>
        <v>1.0863737606381096</v>
      </c>
      <c r="H127" s="287">
        <f>(H31-H33-H32*(1-H20))/H91*1000</f>
        <v>1.1137071615202847</v>
      </c>
      <c r="I127" s="287">
        <f>(I31-I33-I32*(1-I20))/I91*1000</f>
        <v>1.1085008099952138</v>
      </c>
      <c r="J127" s="181">
        <f>ROUND(F127,2)-ROUND(E127,2)</f>
        <v>-9.9999999999998979E-3</v>
      </c>
      <c r="K127" s="302">
        <f>ROUND(F127,2)/ROUND(E127,2)-1</f>
        <v>-1.4492753623188248E-2</v>
      </c>
      <c r="L127" s="181">
        <f>ROUND(G127,2)-ROUND(F127,2)</f>
        <v>0.41000000000000003</v>
      </c>
      <c r="M127" s="302">
        <f>ROUND(G127,2)/ROUND(F127,2)-1</f>
        <v>0.60294117647058831</v>
      </c>
      <c r="N127" s="181">
        <f>ROUND(H127,2)-ROUND(G127,2)</f>
        <v>2.0000000000000018E-2</v>
      </c>
      <c r="O127" s="302">
        <f>ROUND(H127,2)/ROUND(G127,2)-1</f>
        <v>1.8348623853211121E-2</v>
      </c>
      <c r="P127" s="181">
        <f>ROUND(I127,2)-ROUND(H127,2)</f>
        <v>0</v>
      </c>
      <c r="Q127" s="180">
        <f>ROUND(I127,2)/ROUND(H127,2)-1</f>
        <v>0</v>
      </c>
    </row>
    <row r="128" spans="2:17" ht="15.6" customHeight="1" x14ac:dyDescent="0.3">
      <c r="B128" s="230" t="s">
        <v>130</v>
      </c>
      <c r="C128" s="205" t="s">
        <v>12</v>
      </c>
      <c r="D128" s="231"/>
      <c r="E128" s="278">
        <v>0.18131803128346102</v>
      </c>
      <c r="F128" s="287">
        <f>F32*(1-F20)/F92*1000</f>
        <v>2.0944596612845142E-2</v>
      </c>
      <c r="G128" s="287">
        <f>G32*(1-G20)/G92*1000</f>
        <v>3.1259164124351743E-2</v>
      </c>
      <c r="H128" s="287">
        <f>H32*(1-H20)/H92*1000</f>
        <v>3.1990748989932219E-2</v>
      </c>
      <c r="I128" s="287">
        <f>I32*(1-I20)/I92*1000</f>
        <v>3.1841198829399418E-2</v>
      </c>
      <c r="J128" s="181">
        <f>ROUND(F128,2)-ROUND(E128,2)</f>
        <v>-0.16</v>
      </c>
      <c r="K128" s="302">
        <f>ROUND(F128,2)/ROUND(E128,2)-1</f>
        <v>-0.88888888888888884</v>
      </c>
      <c r="L128" s="181">
        <f>ROUND(G128,2)-ROUND(F128,2)</f>
        <v>9.9999999999999985E-3</v>
      </c>
      <c r="M128" s="302">
        <f>ROUND(G128,2)/ROUND(F128,2)-1</f>
        <v>0.5</v>
      </c>
      <c r="N128" s="181">
        <f>ROUND(H128,2)-ROUND(G128,2)</f>
        <v>0</v>
      </c>
      <c r="O128" s="302">
        <f>ROUND(H128,2)/ROUND(G128,2)-1</f>
        <v>0</v>
      </c>
      <c r="P128" s="181">
        <f>ROUND(I128,2)-ROUND(H128,2)</f>
        <v>0</v>
      </c>
      <c r="Q128" s="180">
        <f>ROUND(I128,2)/ROUND(H128,2)-1</f>
        <v>0</v>
      </c>
    </row>
    <row r="130" spans="2:18" ht="47.4" customHeight="1" x14ac:dyDescent="0.3">
      <c r="B130" s="391" t="s">
        <v>191</v>
      </c>
      <c r="C130" s="391"/>
      <c r="D130" s="391"/>
      <c r="E130" s="391"/>
      <c r="F130" s="391"/>
      <c r="G130" s="391"/>
      <c r="H130" s="391"/>
      <c r="I130" s="391"/>
      <c r="J130" s="391"/>
      <c r="K130" s="391"/>
    </row>
    <row r="131" spans="2:18" ht="39.6" customHeight="1" x14ac:dyDescent="0.3">
      <c r="B131" s="391" t="s">
        <v>194</v>
      </c>
      <c r="C131" s="391"/>
      <c r="D131" s="391"/>
      <c r="E131" s="391"/>
      <c r="F131" s="391"/>
      <c r="G131" s="391"/>
      <c r="H131" s="391"/>
      <c r="I131" s="391"/>
      <c r="J131" s="391"/>
      <c r="K131" s="391"/>
    </row>
    <row r="132" spans="2:18" ht="10.199999999999999" customHeight="1" x14ac:dyDescent="0.3">
      <c r="B132" s="339"/>
      <c r="C132" s="202"/>
      <c r="D132" s="202"/>
      <c r="E132" s="202"/>
      <c r="F132" s="202"/>
      <c r="G132" s="202"/>
      <c r="H132" s="202"/>
      <c r="I132" s="202"/>
      <c r="J132" s="202"/>
      <c r="K132" s="202"/>
      <c r="L132" s="110"/>
      <c r="M132" s="110"/>
      <c r="N132" s="110"/>
      <c r="O132" s="110"/>
      <c r="P132" s="110"/>
      <c r="Q132" s="110"/>
      <c r="R132" s="110"/>
    </row>
    <row r="133" spans="2:18" ht="18" customHeight="1" x14ac:dyDescent="0.3">
      <c r="B133" s="391" t="s">
        <v>193</v>
      </c>
      <c r="C133" s="391"/>
      <c r="D133" s="391"/>
      <c r="E133" s="391"/>
      <c r="F133" s="391"/>
      <c r="G133" s="391"/>
      <c r="H133" s="391"/>
      <c r="I133" s="391"/>
      <c r="J133" s="391"/>
      <c r="K133" s="391"/>
      <c r="L133" s="110"/>
      <c r="M133" s="110"/>
      <c r="N133" s="110"/>
      <c r="O133" s="110"/>
      <c r="P133" s="110"/>
      <c r="Q133" s="110"/>
      <c r="R133" s="110"/>
    </row>
    <row r="134" spans="2:18" ht="13.2" customHeight="1" x14ac:dyDescent="0.3">
      <c r="B134" s="384" t="s">
        <v>186</v>
      </c>
      <c r="C134" s="384"/>
      <c r="D134" s="384"/>
      <c r="E134" s="384"/>
      <c r="F134" s="384"/>
      <c r="G134" s="384"/>
      <c r="H134" s="384"/>
      <c r="I134" s="384"/>
      <c r="J134" s="384"/>
      <c r="K134" s="384"/>
      <c r="L134" s="110"/>
      <c r="M134" s="110"/>
      <c r="N134" s="110"/>
      <c r="O134" s="110"/>
      <c r="P134" s="110"/>
      <c r="Q134" s="110"/>
      <c r="R134" s="110"/>
    </row>
    <row r="135" spans="2:18" ht="15.6" customHeight="1" x14ac:dyDescent="0.3">
      <c r="B135" s="384" t="s">
        <v>187</v>
      </c>
      <c r="C135" s="384"/>
      <c r="D135" s="384"/>
      <c r="E135" s="384"/>
      <c r="F135" s="384"/>
      <c r="G135" s="384"/>
      <c r="H135" s="384"/>
      <c r="I135" s="384"/>
      <c r="J135" s="384"/>
      <c r="K135" s="384"/>
      <c r="L135" s="110"/>
      <c r="M135" s="110"/>
      <c r="N135" s="110"/>
      <c r="O135" s="110"/>
      <c r="P135" s="110"/>
      <c r="Q135" s="110"/>
      <c r="R135" s="110"/>
    </row>
  </sheetData>
  <sheetProtection algorithmName="SHA-512" hashValue="WuXG98xRSI7ccrdzABZtHI+4EiI17NsDb6zQkyvHG7B0d7ZqyjROx+kF3FYzfO1Jia5QZHTmNo4uNZOIlDNslg==" saltValue="nsACObFtcl58qv0hGSmKFA==" spinCount="100000" sheet="1" objects="1" scenarios="1"/>
  <protectedRanges>
    <protectedRange sqref="F86:G86" name="Range1_7" securityDescriptor="O:WDG:WDD:(A;;CC;;;S-1-5-21-1823811621-336188519-2245429935-571)"/>
    <protectedRange sqref="F70:I70" name="Range1_7_1" securityDescriptor="O:WDG:WDD:(A;;CC;;;S-1-5-21-1823811621-336188519-2245429935-571)"/>
  </protectedRanges>
  <mergeCells count="41">
    <mergeCell ref="P116:Q116"/>
    <mergeCell ref="J82:K82"/>
    <mergeCell ref="B130:K130"/>
    <mergeCell ref="B133:K133"/>
    <mergeCell ref="B121:K121"/>
    <mergeCell ref="P94:Q94"/>
    <mergeCell ref="L122:M122"/>
    <mergeCell ref="N122:O122"/>
    <mergeCell ref="P122:Q122"/>
    <mergeCell ref="B131:K131"/>
    <mergeCell ref="B134:K134"/>
    <mergeCell ref="B135:K135"/>
    <mergeCell ref="B120:K120"/>
    <mergeCell ref="N94:O94"/>
    <mergeCell ref="B2:F2"/>
    <mergeCell ref="B4:F4"/>
    <mergeCell ref="J108:K108"/>
    <mergeCell ref="B23:B24"/>
    <mergeCell ref="J94:K94"/>
    <mergeCell ref="J116:K116"/>
    <mergeCell ref="B25:B26"/>
    <mergeCell ref="L108:M108"/>
    <mergeCell ref="L116:M116"/>
    <mergeCell ref="N116:O116"/>
    <mergeCell ref="J122:K122"/>
    <mergeCell ref="B1:F1"/>
    <mergeCell ref="L94:M94"/>
    <mergeCell ref="N108:O108"/>
    <mergeCell ref="B8:C8"/>
    <mergeCell ref="P108:Q108"/>
    <mergeCell ref="J83:K83"/>
    <mergeCell ref="J84:K84"/>
    <mergeCell ref="J85:K85"/>
    <mergeCell ref="J86:K86"/>
    <mergeCell ref="J87:K87"/>
    <mergeCell ref="J88:K88"/>
    <mergeCell ref="J89:K89"/>
    <mergeCell ref="J90:K90"/>
    <mergeCell ref="J91:K91"/>
    <mergeCell ref="J92:K92"/>
    <mergeCell ref="E8:I8"/>
  </mergeCells>
  <dataValidations count="30">
    <dataValidation type="decimal" allowBlank="1" showInputMessage="1" showErrorMessage="1" errorTitle="Invalid data" error="Values between 0% and 100% must be entered." sqref="F20:I20 F55:I55">
      <formula1>0</formula1>
      <formula2>1</formula2>
    </dataValidation>
    <dataValidation type="decimal" allowBlank="1" showInputMessage="1" showErrorMessage="1" errorTitle="Invalid data" error="Values between 0 and 122350 (i.e. not greater than technical capacity) must be entered." sqref="F71:I71">
      <formula1>0</formula1>
      <formula2>122350</formula2>
    </dataValidation>
    <dataValidation type="decimal" allowBlank="1" showErrorMessage="1" errorTitle="Invalid data" error="Values between 0% and 100% must be entered." sqref="F58:I59">
      <formula1>0</formula1>
      <formula2>1</formula2>
    </dataValidation>
    <dataValidation type="decimal" showErrorMessage="1" errorTitle="Invalid data" error="Values between 0% and 100% must be entered." sqref="F51:I51">
      <formula1>0</formula1>
      <formula2>1</formula2>
    </dataValidation>
    <dataValidation type="decimal" allowBlank="1" showInputMessage="1" showErrorMessage="1" errorTitle="Invalid data" error="Values between 0 and 67600 (i.e. not greater than technical capacity) must be entered." sqref="F74:I74">
      <formula1>0</formula1>
      <formula2>67600</formula2>
    </dataValidation>
    <dataValidation type="decimal" showErrorMessage="1" errorTitle="Invalid data" error="Values between 1 and 114200 (i.e. not greater than technical capacity) must be entered." sqref="F75:I75">
      <formula1>1</formula1>
      <formula2>114200</formula2>
    </dataValidation>
    <dataValidation type="decimal" allowBlank="1" showErrorMessage="1" errorTitle="Invalid data" error="Value between 1 and 200000 must be entered." sqref="F80:I80">
      <formula1>1</formula1>
      <formula2>200000</formula2>
    </dataValidation>
    <dataValidation type="list" allowBlank="1" showInputMessage="1" showErrorMessage="1" sqref="D51 D55 D61 D58:D59">
      <formula1>#REF!</formula1>
    </dataValidation>
    <dataValidation type="decimal" allowBlank="1" showInputMessage="1" showErrorMessage="1" errorTitle="Invalid data" error="From 1 % to 100 % must be entered." sqref="E55">
      <formula1>0.01</formula1>
      <formula2>1</formula2>
    </dataValidation>
    <dataValidation type="decimal" allowBlank="1" showInputMessage="1" showErrorMessage="1" errorTitle="Invalid data" error="Values between 0 and the difference between 512870,16 (i.e. the sum of all technical capacity of all Entry points) and capacity booking at Sakiai GMS must be entered." sqref="E73">
      <formula1>0</formula1>
      <formula2>512870.16-E77</formula2>
    </dataValidation>
    <dataValidation type="whole" allowBlank="1" showInputMessage="1" showErrorMessage="1" errorTitle="Invalid data" error="Values between 0 and the part of allowed revenue allocated for Primary network must be entered." sqref="I16">
      <formula1>0</formula1>
      <formula2>I15</formula2>
    </dataValidation>
    <dataValidation type="whole" allowBlank="1" showInputMessage="1" showErrorMessage="1" errorTitle="Invalid data" error="Values between 0 and total Domestic Exit Point's Quantity of gas transported must be entered." sqref="F91">
      <formula1>0</formula1>
      <formula2>F90</formula2>
    </dataValidation>
    <dataValidation type="decimal" allowBlank="1" showInputMessage="1" showErrorMessage="1" errorTitle="Invalid data" error="Values between 0 and the part of allowed revenue allocated for Secondary (Local) network must be entered." sqref="F18:I18">
      <formula1>0</formula1>
      <formula2>F17</formula2>
    </dataValidation>
    <dataValidation type="decimal" allowBlank="1" showErrorMessage="1" errorTitle="Invalid data" error="Values between 1 and the difference between 200000 and capacity booking (at Domestic Exit Point) of Group with annual Q &lt;=10.4 TWh must be entered." sqref="F79:I79">
      <formula1>1</formula1>
      <formula2>200000-F78</formula2>
    </dataValidation>
    <dataValidation type="decimal" operator="greaterThanOrEqual" allowBlank="1" showInputMessage="1" showErrorMessage="1" errorTitle="Invalid data" error="Values greater than or equal to the part of allowed revenue allocated for Secondary (Local) network's part attributed to Group of network users with annual Q &gt; 10.4 TWh must be entered." sqref="I17">
      <formula1>I18</formula1>
    </dataValidation>
    <dataValidation type="decimal" operator="greaterThanOrEqual" allowBlank="1" showInputMessage="1" showErrorMessage="1" errorTitle="Invalid data" error="Values greater than or equal to the part of allowed revenue allocated for transportation to 3rd country service must be entered." sqref="F15:I15">
      <formula1>F16</formula1>
    </dataValidation>
    <dataValidation type="decimal" allowBlank="1" showErrorMessage="1" errorTitle="Invalid data" error="Values between 1 and 200000 must be entered." sqref="F78:I78">
      <formula1>1</formula1>
      <formula2>200000</formula2>
    </dataValidation>
    <dataValidation showErrorMessage="1" sqref="F76:G76"/>
    <dataValidation type="decimal" allowBlank="1" showInputMessage="1" showErrorMessage="1" errorTitle="Invalid data" error="Values between 1 and the difference between 390533,47 (i.e. the sum of all technical capacity of all Entry (excluding Klaipėda) points) and capacity booking at Šakiai Exit Point must be entered." sqref="F70:G70">
      <formula1>1</formula1>
      <formula2>390533.47-F75</formula2>
    </dataValidation>
    <dataValidation type="decimal" allowBlank="1" showInputMessage="1" showErrorMessage="1" errorTitle="Invalid data" error="Values between 0 and 58300 (i.e. not greater than forecasted technical capacity) must be entered." sqref="H76:I76">
      <formula1>0</formula1>
      <formula2>58300</formula2>
    </dataValidation>
    <dataValidation type="decimal" showErrorMessage="1" errorTitle="Invalid data" error="Values between 1 and 114200 (i.e. not greater than technical capacity at Šakiai Exit Point) must be entered." sqref="F72:I72">
      <formula1>1</formula1>
      <formula2>114200</formula2>
    </dataValidation>
    <dataValidation type="decimal" allowBlank="1" showInputMessage="1" showErrorMessage="1" errorTitle="Invalid data" error="Values between 1 and the difference between 464433,47 (i.e. the sum of all technical capacity of all (including GIP) Entry (excluding Klaipėda) points) and capacity booking at Šakiai Exit Point must be entered." sqref="I70">
      <formula1>1</formula1>
      <formula2>464433.47-I75</formula2>
    </dataValidation>
    <dataValidation type="whole" allowBlank="1" showInputMessage="1" showErrorMessage="1" errorTitle="Invalid data" error="Values between 0 and the part of allowed revenue allocated for Primary network must be entered." sqref="F16:H16">
      <formula1>0</formula1>
      <formula2>F15</formula2>
    </dataValidation>
    <dataValidation type="whole" operator="greaterThanOrEqual" allowBlank="1" showInputMessage="1" showErrorMessage="1" errorTitle="Invalid data" error="Values greater than or equal to the Quantity attributed to the Group of network users with annual Q &lt;= 10.4 TWh must be entered." sqref="I84">
      <formula1>I91</formula1>
    </dataValidation>
    <dataValidation type="whole" operator="greaterThanOrEqual" allowBlank="1" showInputMessage="1" showErrorMessage="1" errorTitle="Invalid data" error="Values greater than or equal to 0 must be entered." sqref="F83:I83 G85:I85 H86:I86">
      <formula1>0</formula1>
    </dataValidation>
    <dataValidation type="whole" allowBlank="1" showInputMessage="1" showErrorMessage="1" errorTitle="Invalid data" error="Values between 1 and total Domestic Exit Point's Quantity of gas transported must be entered." sqref="G91:I91">
      <formula1>1</formula1>
      <formula2>G90</formula2>
    </dataValidation>
    <dataValidation type="decimal" operator="greaterThanOrEqual" allowBlank="1" showInputMessage="1" showErrorMessage="1" errorTitle="Invalid data" error="Values greater than or equal to the part of allowed revenue allocated for Secondary (Local) network's part attributed to Group of network users with annual Q &gt; 10.4 TWh must be entered." sqref="F17:H17">
      <formula1>F18</formula1>
    </dataValidation>
    <dataValidation type="decimal" allowBlank="1" showInputMessage="1" showErrorMessage="1" errorTitle="Invalid data" error="Values between 1 and the difference between 464433,47 (i.e. the sum of all technical capacity of all (including GIP) Entry (excluding Klaipėda) points) and capacity booking at Šakiai Exit Point must be entered." sqref="H70">
      <formula1>1</formula1>
      <formula2>464433.47-H75</formula2>
    </dataValidation>
    <dataValidation allowBlank="1" showErrorMessage="1" sqref="F77:I77"/>
    <dataValidation type="whole" operator="greaterThanOrEqual" allowBlank="1" showInputMessage="1" showErrorMessage="1" errorTitle="Invalid data" error="Values greater than or equal to the Quantity attributed to the Group of network users with annual Q &lt;= 10.4 TWh must be entered." sqref="G84:H84">
      <formula1>G91</formula1>
    </dataValidation>
  </dataValidations>
  <pageMargins left="0.7" right="0.7" top="0.75" bottom="0.75" header="0.3" footer="0.3"/>
  <pageSetup paperSize="9" scale="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79"/>
  <sheetViews>
    <sheetView showGridLines="0" zoomScale="90" zoomScaleNormal="90" workbookViewId="0">
      <selection activeCell="B216" sqref="B216"/>
    </sheetView>
  </sheetViews>
  <sheetFormatPr defaultRowHeight="14.4" x14ac:dyDescent="0.3"/>
  <cols>
    <col min="1" max="1" width="2.109375" customWidth="1"/>
    <col min="2" max="2" width="59.6640625" customWidth="1"/>
    <col min="3" max="3" width="8.5546875" customWidth="1"/>
    <col min="4" max="30" width="6.6640625" customWidth="1"/>
    <col min="31" max="31" width="6.88671875" bestFit="1" customWidth="1"/>
    <col min="32" max="43" width="6.77734375" bestFit="1" customWidth="1"/>
  </cols>
  <sheetData>
    <row r="1" spans="2:31" ht="23.4" x14ac:dyDescent="0.3">
      <c r="B1" s="83" t="s">
        <v>182</v>
      </c>
      <c r="C1" s="177"/>
      <c r="D1" s="177"/>
      <c r="E1" s="177"/>
      <c r="F1" s="177"/>
      <c r="G1" s="177"/>
      <c r="H1" s="177"/>
      <c r="I1" s="177"/>
      <c r="J1" s="177"/>
      <c r="K1" s="177"/>
      <c r="L1" s="177"/>
      <c r="M1" s="177"/>
      <c r="N1" s="177"/>
      <c r="O1" s="177"/>
      <c r="P1" s="177"/>
      <c r="Q1" s="177"/>
      <c r="R1" s="177"/>
      <c r="S1" s="177"/>
      <c r="T1" s="177"/>
      <c r="U1" s="177"/>
      <c r="V1" s="177"/>
      <c r="W1" s="80"/>
    </row>
    <row r="2" spans="2:31" ht="23.4" x14ac:dyDescent="0.3">
      <c r="B2" s="143" t="s">
        <v>183</v>
      </c>
      <c r="C2" s="177"/>
      <c r="D2" s="177"/>
      <c r="E2" s="177"/>
      <c r="F2" s="177"/>
      <c r="G2" s="177"/>
      <c r="H2" s="177"/>
      <c r="I2" s="177"/>
      <c r="J2" s="177"/>
      <c r="K2" s="177"/>
      <c r="L2" s="177"/>
      <c r="M2" s="177"/>
      <c r="N2" s="177"/>
      <c r="O2" s="177"/>
      <c r="P2" s="177"/>
      <c r="Q2" s="177"/>
      <c r="R2" s="177"/>
      <c r="S2" s="177"/>
      <c r="T2" s="177"/>
      <c r="U2" s="177"/>
      <c r="V2" s="177"/>
      <c r="W2" s="142"/>
    </row>
    <row r="3" spans="2:31" ht="10.95" customHeight="1" x14ac:dyDescent="0.3">
      <c r="B3" s="24" t="s">
        <v>141</v>
      </c>
      <c r="C3" s="4"/>
      <c r="D3" s="4"/>
      <c r="E3" s="4"/>
      <c r="F3" s="4"/>
      <c r="G3" s="4"/>
      <c r="H3" s="4"/>
      <c r="I3" s="4"/>
      <c r="J3" s="4"/>
      <c r="K3" s="4"/>
      <c r="L3" s="4"/>
      <c r="M3" s="4"/>
      <c r="N3" s="4"/>
      <c r="O3" s="4"/>
      <c r="P3" s="4"/>
      <c r="Q3" s="4"/>
      <c r="R3" s="4"/>
      <c r="S3" s="4"/>
      <c r="T3" s="27"/>
      <c r="U3" s="27"/>
      <c r="V3" s="27"/>
      <c r="W3" s="27"/>
    </row>
    <row r="4" spans="2:31" x14ac:dyDescent="0.3">
      <c r="B4" s="212" t="s">
        <v>137</v>
      </c>
      <c r="C4" s="3"/>
      <c r="D4" s="3"/>
      <c r="E4" s="3"/>
      <c r="F4" s="3"/>
      <c r="G4" s="3"/>
    </row>
    <row r="5" spans="2:31" x14ac:dyDescent="0.3">
      <c r="B5" s="10"/>
      <c r="C5" s="3"/>
      <c r="D5" s="3"/>
      <c r="E5" s="3"/>
      <c r="F5" s="3"/>
      <c r="G5" s="3"/>
    </row>
    <row r="6" spans="2:31" ht="16.2" customHeight="1" x14ac:dyDescent="0.3">
      <c r="B6" s="414" t="s">
        <v>79</v>
      </c>
      <c r="C6" s="414"/>
      <c r="D6" s="414"/>
      <c r="E6" s="414"/>
      <c r="F6" s="414"/>
      <c r="G6" s="414"/>
      <c r="H6" s="414"/>
      <c r="I6" s="414"/>
      <c r="J6" s="414"/>
      <c r="K6" s="414"/>
      <c r="L6" s="414"/>
      <c r="M6" s="414"/>
      <c r="N6" s="414"/>
      <c r="O6" s="414"/>
      <c r="P6" s="414"/>
      <c r="Q6" s="414"/>
      <c r="R6" s="414"/>
      <c r="S6" s="414"/>
      <c r="T6" s="84"/>
      <c r="U6" s="84"/>
      <c r="V6" s="84"/>
      <c r="W6" s="84"/>
      <c r="X6" s="84"/>
      <c r="Y6" s="84"/>
      <c r="Z6" s="84"/>
      <c r="AA6" s="84"/>
      <c r="AB6" s="84"/>
      <c r="AC6" s="84"/>
      <c r="AD6" s="84"/>
      <c r="AE6" s="84"/>
    </row>
    <row r="7" spans="2:31" s="110" customFormat="1" ht="6" customHeight="1" x14ac:dyDescent="0.3">
      <c r="B7" s="97"/>
      <c r="C7" s="97"/>
      <c r="D7" s="97"/>
      <c r="E7" s="97"/>
      <c r="F7" s="97"/>
      <c r="G7" s="97"/>
      <c r="H7" s="97"/>
      <c r="I7" s="97"/>
      <c r="J7" s="97"/>
      <c r="K7" s="97"/>
      <c r="L7" s="97"/>
      <c r="M7" s="97"/>
      <c r="N7" s="97"/>
      <c r="O7" s="97"/>
      <c r="P7" s="97"/>
      <c r="Q7" s="97"/>
      <c r="R7" s="97"/>
      <c r="S7" s="97"/>
    </row>
    <row r="8" spans="2:31" x14ac:dyDescent="0.3">
      <c r="B8" s="418" t="s">
        <v>43</v>
      </c>
      <c r="C8" s="418"/>
      <c r="D8" s="418"/>
      <c r="E8" s="418"/>
      <c r="F8" s="418"/>
      <c r="G8" s="418"/>
      <c r="H8" s="418"/>
      <c r="I8" s="418"/>
      <c r="J8" s="418"/>
      <c r="K8" s="418"/>
      <c r="L8" s="418"/>
      <c r="M8" s="418"/>
      <c r="N8" s="418"/>
      <c r="O8" s="418"/>
      <c r="P8" s="418"/>
      <c r="Q8" s="418"/>
      <c r="R8" s="418"/>
      <c r="S8" s="418"/>
      <c r="X8" s="8"/>
    </row>
    <row r="9" spans="2:31" ht="41.4" customHeight="1" x14ac:dyDescent="0.3">
      <c r="B9" s="406" t="s">
        <v>18</v>
      </c>
      <c r="C9" s="415" t="s">
        <v>35</v>
      </c>
      <c r="D9" s="415" t="s">
        <v>36</v>
      </c>
      <c r="E9" s="415"/>
      <c r="F9" s="415"/>
      <c r="G9" s="415"/>
      <c r="H9" s="416" t="s">
        <v>37</v>
      </c>
      <c r="I9" s="417"/>
      <c r="J9" s="417"/>
      <c r="K9" s="417"/>
      <c r="L9" s="417"/>
      <c r="M9" s="417"/>
      <c r="N9" s="417"/>
      <c r="O9" s="417"/>
      <c r="P9" s="417"/>
      <c r="Q9" s="417"/>
      <c r="R9" s="417"/>
      <c r="S9" s="417"/>
      <c r="T9" s="95"/>
      <c r="U9" s="95"/>
      <c r="V9" s="95"/>
      <c r="W9" s="95"/>
      <c r="X9" s="8"/>
    </row>
    <row r="10" spans="2:31" x14ac:dyDescent="0.3">
      <c r="B10" s="406"/>
      <c r="C10" s="415"/>
      <c r="D10" s="88" t="s">
        <v>39</v>
      </c>
      <c r="E10" s="88" t="s">
        <v>40</v>
      </c>
      <c r="F10" s="88" t="s">
        <v>41</v>
      </c>
      <c r="G10" s="88" t="s">
        <v>42</v>
      </c>
      <c r="H10" s="88" t="s">
        <v>24</v>
      </c>
      <c r="I10" s="88" t="s">
        <v>25</v>
      </c>
      <c r="J10" s="88" t="s">
        <v>26</v>
      </c>
      <c r="K10" s="88" t="s">
        <v>27</v>
      </c>
      <c r="L10" s="88" t="s">
        <v>17</v>
      </c>
      <c r="M10" s="88" t="s">
        <v>28</v>
      </c>
      <c r="N10" s="88" t="s">
        <v>29</v>
      </c>
      <c r="O10" s="88" t="s">
        <v>30</v>
      </c>
      <c r="P10" s="88" t="s">
        <v>31</v>
      </c>
      <c r="Q10" s="88" t="s">
        <v>32</v>
      </c>
      <c r="R10" s="88" t="s">
        <v>33</v>
      </c>
      <c r="S10" s="88" t="s">
        <v>34</v>
      </c>
      <c r="T10" s="28"/>
      <c r="U10" s="28"/>
      <c r="V10" s="28"/>
      <c r="W10" s="28"/>
    </row>
    <row r="11" spans="2:31" x14ac:dyDescent="0.3">
      <c r="B11" s="91">
        <v>2019</v>
      </c>
      <c r="C11" s="87">
        <f>SUM(H11:S11)</f>
        <v>365</v>
      </c>
      <c r="D11" s="103">
        <f>SUM(H11:J11)</f>
        <v>90</v>
      </c>
      <c r="E11" s="103">
        <f>SUM(K11:M11)</f>
        <v>91</v>
      </c>
      <c r="F11" s="103">
        <f>SUM(N11:P11)</f>
        <v>92</v>
      </c>
      <c r="G11" s="103">
        <f>SUM(Q11:S11)</f>
        <v>92</v>
      </c>
      <c r="H11" s="159">
        <v>31</v>
      </c>
      <c r="I11" s="159">
        <v>28</v>
      </c>
      <c r="J11" s="159">
        <v>31</v>
      </c>
      <c r="K11" s="159">
        <v>30</v>
      </c>
      <c r="L11" s="159">
        <v>31</v>
      </c>
      <c r="M11" s="159">
        <v>30</v>
      </c>
      <c r="N11" s="159">
        <v>31</v>
      </c>
      <c r="O11" s="159">
        <v>31</v>
      </c>
      <c r="P11" s="159">
        <v>30</v>
      </c>
      <c r="Q11" s="159">
        <v>31</v>
      </c>
      <c r="R11" s="159">
        <v>30</v>
      </c>
      <c r="S11" s="159">
        <v>31</v>
      </c>
      <c r="T11" s="28"/>
      <c r="U11" s="28"/>
      <c r="V11" s="28"/>
      <c r="W11" s="28"/>
    </row>
    <row r="12" spans="2:31" x14ac:dyDescent="0.3">
      <c r="B12" s="91">
        <v>2020</v>
      </c>
      <c r="C12" s="87">
        <f t="shared" ref="C12" si="0">SUM(H12:S12)</f>
        <v>366</v>
      </c>
      <c r="D12" s="103">
        <f t="shared" ref="D12" si="1">SUM(H12:J12)</f>
        <v>91</v>
      </c>
      <c r="E12" s="103">
        <f t="shared" ref="E12" si="2">SUM(K12:M12)</f>
        <v>91</v>
      </c>
      <c r="F12" s="103">
        <f>SUM(N12:P12)</f>
        <v>92</v>
      </c>
      <c r="G12" s="103">
        <f t="shared" ref="G12" si="3">SUM(Q12:S12)</f>
        <v>92</v>
      </c>
      <c r="H12" s="159">
        <v>31</v>
      </c>
      <c r="I12" s="159">
        <v>29</v>
      </c>
      <c r="J12" s="159">
        <v>31</v>
      </c>
      <c r="K12" s="159">
        <v>30</v>
      </c>
      <c r="L12" s="159">
        <v>31</v>
      </c>
      <c r="M12" s="159">
        <v>30</v>
      </c>
      <c r="N12" s="159">
        <v>31</v>
      </c>
      <c r="O12" s="159">
        <v>31</v>
      </c>
      <c r="P12" s="159">
        <v>30</v>
      </c>
      <c r="Q12" s="159">
        <v>31</v>
      </c>
      <c r="R12" s="159">
        <v>30</v>
      </c>
      <c r="S12" s="159">
        <v>31</v>
      </c>
      <c r="T12" s="28"/>
      <c r="U12" s="28"/>
      <c r="V12" s="28"/>
      <c r="W12" s="28"/>
    </row>
    <row r="13" spans="2:31" x14ac:dyDescent="0.3">
      <c r="B13" s="91">
        <v>2021</v>
      </c>
      <c r="C13" s="87">
        <f t="shared" ref="C13:C15" si="4">SUM(H13:S13)</f>
        <v>365</v>
      </c>
      <c r="D13" s="103">
        <f t="shared" ref="D13:D15" si="5">SUM(H13:J13)</f>
        <v>90</v>
      </c>
      <c r="E13" s="103">
        <f t="shared" ref="E13:E14" si="6">SUM(K13:M13)</f>
        <v>91</v>
      </c>
      <c r="F13" s="103">
        <f t="shared" ref="F13:F15" si="7">SUM(N13:P13)</f>
        <v>92</v>
      </c>
      <c r="G13" s="103">
        <f t="shared" ref="G13:G15" si="8">SUM(Q13:S13)</f>
        <v>92</v>
      </c>
      <c r="H13" s="159">
        <v>31</v>
      </c>
      <c r="I13" s="159">
        <v>28</v>
      </c>
      <c r="J13" s="159">
        <v>31</v>
      </c>
      <c r="K13" s="159">
        <v>30</v>
      </c>
      <c r="L13" s="159">
        <v>31</v>
      </c>
      <c r="M13" s="159">
        <v>30</v>
      </c>
      <c r="N13" s="159">
        <v>31</v>
      </c>
      <c r="O13" s="159">
        <v>31</v>
      </c>
      <c r="P13" s="159">
        <v>30</v>
      </c>
      <c r="Q13" s="159">
        <v>31</v>
      </c>
      <c r="R13" s="159">
        <v>30</v>
      </c>
      <c r="S13" s="159">
        <v>31</v>
      </c>
      <c r="T13" s="58"/>
      <c r="U13" s="28"/>
      <c r="V13" s="28"/>
      <c r="W13" s="28"/>
    </row>
    <row r="14" spans="2:31" x14ac:dyDescent="0.3">
      <c r="B14" s="91">
        <v>2022</v>
      </c>
      <c r="C14" s="87">
        <f t="shared" si="4"/>
        <v>365</v>
      </c>
      <c r="D14" s="103">
        <f>SUM(H14:J14)</f>
        <v>90</v>
      </c>
      <c r="E14" s="103">
        <f t="shared" si="6"/>
        <v>91</v>
      </c>
      <c r="F14" s="103">
        <f>SUM(N14:P14)</f>
        <v>92</v>
      </c>
      <c r="G14" s="103">
        <f t="shared" si="8"/>
        <v>92</v>
      </c>
      <c r="H14" s="159">
        <v>31</v>
      </c>
      <c r="I14" s="159">
        <v>28</v>
      </c>
      <c r="J14" s="159">
        <v>31</v>
      </c>
      <c r="K14" s="159">
        <v>30</v>
      </c>
      <c r="L14" s="159">
        <v>31</v>
      </c>
      <c r="M14" s="159">
        <v>30</v>
      </c>
      <c r="N14" s="159">
        <v>31</v>
      </c>
      <c r="O14" s="159">
        <v>31</v>
      </c>
      <c r="P14" s="159">
        <v>30</v>
      </c>
      <c r="Q14" s="159">
        <v>31</v>
      </c>
      <c r="R14" s="159">
        <v>30</v>
      </c>
      <c r="S14" s="159">
        <v>31</v>
      </c>
      <c r="T14" s="58"/>
      <c r="U14" s="28"/>
      <c r="V14" s="28"/>
      <c r="W14" s="28"/>
    </row>
    <row r="15" spans="2:31" x14ac:dyDescent="0.3">
      <c r="B15" s="91">
        <v>2023</v>
      </c>
      <c r="C15" s="87">
        <f t="shared" si="4"/>
        <v>365</v>
      </c>
      <c r="D15" s="103">
        <f t="shared" si="5"/>
        <v>90</v>
      </c>
      <c r="E15" s="103">
        <f>SUM(K15:M15)</f>
        <v>91</v>
      </c>
      <c r="F15" s="103">
        <f t="shared" si="7"/>
        <v>92</v>
      </c>
      <c r="G15" s="103">
        <f t="shared" si="8"/>
        <v>92</v>
      </c>
      <c r="H15" s="159">
        <v>31</v>
      </c>
      <c r="I15" s="159">
        <v>28</v>
      </c>
      <c r="J15" s="159">
        <v>31</v>
      </c>
      <c r="K15" s="159">
        <v>30</v>
      </c>
      <c r="L15" s="159">
        <v>31</v>
      </c>
      <c r="M15" s="159">
        <v>30</v>
      </c>
      <c r="N15" s="159">
        <v>31</v>
      </c>
      <c r="O15" s="159">
        <v>31</v>
      </c>
      <c r="P15" s="159">
        <v>30</v>
      </c>
      <c r="Q15" s="159">
        <v>31</v>
      </c>
      <c r="R15" s="159">
        <v>30</v>
      </c>
      <c r="S15" s="159">
        <v>31</v>
      </c>
      <c r="T15" s="58"/>
      <c r="U15" s="28"/>
      <c r="V15" s="28"/>
      <c r="W15" s="28"/>
    </row>
    <row r="16" spans="2:31" x14ac:dyDescent="0.3">
      <c r="B16" s="89"/>
      <c r="C16" s="93"/>
      <c r="D16" s="93"/>
      <c r="E16" s="93"/>
      <c r="F16" s="93"/>
      <c r="G16" s="93"/>
      <c r="H16" s="93"/>
      <c r="I16" s="93"/>
      <c r="J16" s="93"/>
      <c r="K16" s="93"/>
      <c r="L16" s="93"/>
      <c r="M16" s="93"/>
      <c r="N16" s="93"/>
      <c r="O16" s="93"/>
      <c r="P16" s="93"/>
      <c r="Q16" s="93"/>
      <c r="R16" s="93"/>
      <c r="S16" s="93"/>
      <c r="T16" s="28"/>
      <c r="U16" s="28"/>
      <c r="V16" s="28"/>
      <c r="W16" s="28"/>
    </row>
    <row r="17" spans="2:31" x14ac:dyDescent="0.3">
      <c r="B17" s="94" t="s">
        <v>50</v>
      </c>
      <c r="C17" s="94"/>
      <c r="D17" s="94"/>
      <c r="E17" s="94"/>
      <c r="F17" s="94"/>
      <c r="G17" s="94"/>
      <c r="H17" s="94"/>
      <c r="I17" s="94"/>
      <c r="J17" s="94"/>
      <c r="K17" s="94"/>
      <c r="L17" s="94"/>
      <c r="M17" s="173"/>
      <c r="N17" s="173"/>
      <c r="O17" s="97"/>
      <c r="P17" s="97"/>
      <c r="Q17" s="97"/>
      <c r="R17" s="97"/>
      <c r="S17" s="97"/>
      <c r="T17" s="98"/>
      <c r="U17" s="98"/>
      <c r="V17" s="98"/>
      <c r="W17" s="98"/>
      <c r="X17" s="98"/>
      <c r="Y17" s="98"/>
      <c r="Z17" s="98"/>
      <c r="AA17" s="98"/>
      <c r="AB17" s="98"/>
      <c r="AC17" s="98"/>
      <c r="AD17" s="98"/>
      <c r="AE17" s="98"/>
    </row>
    <row r="18" spans="2:31" ht="28.2" customHeight="1" x14ac:dyDescent="0.3">
      <c r="B18" s="406" t="s">
        <v>18</v>
      </c>
      <c r="C18" s="405"/>
      <c r="D18" s="402" t="s">
        <v>47</v>
      </c>
      <c r="E18" s="399"/>
      <c r="F18" s="399"/>
      <c r="G18" s="410"/>
      <c r="H18" s="402" t="s">
        <v>170</v>
      </c>
      <c r="I18" s="399"/>
      <c r="J18" s="399"/>
      <c r="K18" s="410"/>
      <c r="L18" s="411" t="s">
        <v>90</v>
      </c>
      <c r="M18" s="412"/>
      <c r="N18" s="413"/>
      <c r="O18" s="174"/>
      <c r="P18" s="100"/>
      <c r="Q18" s="100"/>
      <c r="R18" s="100"/>
      <c r="S18" s="100"/>
      <c r="T18" s="101"/>
      <c r="U18" s="100"/>
      <c r="V18" s="100"/>
      <c r="W18" s="100"/>
      <c r="X18" s="100"/>
      <c r="Y18" s="100"/>
      <c r="Z18" s="100"/>
      <c r="AA18" s="100"/>
      <c r="AB18" s="100"/>
      <c r="AC18" s="100"/>
      <c r="AD18" s="100"/>
      <c r="AE18" s="100"/>
    </row>
    <row r="19" spans="2:31" ht="14.4" customHeight="1" x14ac:dyDescent="0.3">
      <c r="B19" s="406"/>
      <c r="C19" s="405"/>
      <c r="D19" s="88" t="s">
        <v>21</v>
      </c>
      <c r="E19" s="88" t="s">
        <v>22</v>
      </c>
      <c r="F19" s="88" t="s">
        <v>88</v>
      </c>
      <c r="G19" s="172" t="s">
        <v>89</v>
      </c>
      <c r="H19" s="88" t="s">
        <v>21</v>
      </c>
      <c r="I19" s="88" t="s">
        <v>22</v>
      </c>
      <c r="J19" s="88" t="s">
        <v>88</v>
      </c>
      <c r="K19" s="172" t="s">
        <v>89</v>
      </c>
      <c r="L19" s="172" t="s">
        <v>21</v>
      </c>
      <c r="M19" s="172" t="s">
        <v>22</v>
      </c>
      <c r="N19" s="172" t="s">
        <v>23</v>
      </c>
      <c r="O19" s="116"/>
      <c r="P19" s="102"/>
      <c r="Q19" s="102"/>
      <c r="R19" s="102"/>
      <c r="S19" s="102"/>
      <c r="T19" s="102"/>
      <c r="U19" s="102"/>
      <c r="V19" s="102"/>
      <c r="W19" s="102"/>
      <c r="X19" s="102"/>
      <c r="Y19" s="102"/>
      <c r="Z19" s="102"/>
      <c r="AA19" s="102"/>
      <c r="AB19" s="102"/>
      <c r="AC19" s="102"/>
      <c r="AD19" s="102"/>
      <c r="AE19" s="102"/>
    </row>
    <row r="20" spans="2:31" x14ac:dyDescent="0.3">
      <c r="B20" s="91">
        <v>2019</v>
      </c>
      <c r="C20" s="92"/>
      <c r="D20" s="104">
        <v>1.25</v>
      </c>
      <c r="E20" s="104">
        <v>1.5</v>
      </c>
      <c r="F20" s="104">
        <v>2.25</v>
      </c>
      <c r="G20" s="104">
        <v>2.25</v>
      </c>
      <c r="H20" s="103">
        <v>1.25</v>
      </c>
      <c r="I20" s="104">
        <v>1.4</v>
      </c>
      <c r="J20" s="104">
        <v>1.5</v>
      </c>
      <c r="K20" s="104">
        <v>1.5</v>
      </c>
      <c r="L20" s="104">
        <v>1.25</v>
      </c>
      <c r="M20" s="104">
        <v>1.5</v>
      </c>
      <c r="N20" s="104">
        <v>2.25</v>
      </c>
      <c r="O20" s="175"/>
      <c r="P20" s="99"/>
      <c r="Q20" s="99"/>
      <c r="R20" s="99"/>
      <c r="S20" s="99"/>
      <c r="T20" s="93"/>
      <c r="U20" s="93"/>
      <c r="V20" s="93"/>
      <c r="W20" s="93"/>
      <c r="X20" s="93"/>
      <c r="Y20" s="93"/>
      <c r="Z20" s="93"/>
      <c r="AA20" s="93"/>
      <c r="AB20" s="93"/>
      <c r="AC20" s="93"/>
      <c r="AD20" s="93"/>
      <c r="AE20" s="93"/>
    </row>
    <row r="21" spans="2:31" x14ac:dyDescent="0.3">
      <c r="B21" s="91">
        <v>2020</v>
      </c>
      <c r="C21" s="92"/>
      <c r="D21" s="160">
        <v>1.1000000000000001</v>
      </c>
      <c r="E21" s="160">
        <v>1.25</v>
      </c>
      <c r="F21" s="160">
        <v>1.5</v>
      </c>
      <c r="G21" s="160">
        <v>1.5</v>
      </c>
      <c r="H21" s="160">
        <v>1.1000000000000001</v>
      </c>
      <c r="I21" s="160">
        <v>1.25</v>
      </c>
      <c r="J21" s="160">
        <v>1.5</v>
      </c>
      <c r="K21" s="160">
        <v>1.5</v>
      </c>
      <c r="L21" s="160">
        <v>1.25</v>
      </c>
      <c r="M21" s="160">
        <v>1.5</v>
      </c>
      <c r="N21" s="160">
        <v>3</v>
      </c>
      <c r="O21" s="175"/>
      <c r="P21" s="99"/>
      <c r="Q21" s="99"/>
      <c r="R21" s="99"/>
      <c r="S21" s="99"/>
      <c r="T21" s="93"/>
      <c r="U21" s="93"/>
      <c r="V21" s="93"/>
      <c r="W21" s="93"/>
      <c r="X21" s="93"/>
      <c r="Y21" s="93"/>
      <c r="Z21" s="93"/>
      <c r="AA21" s="93"/>
      <c r="AB21" s="93"/>
      <c r="AC21" s="93"/>
      <c r="AD21" s="93"/>
      <c r="AE21" s="93"/>
    </row>
    <row r="22" spans="2:31" x14ac:dyDescent="0.3">
      <c r="B22" s="91">
        <v>2021</v>
      </c>
      <c r="C22" s="92"/>
      <c r="D22" s="160">
        <v>1.1000000000000001</v>
      </c>
      <c r="E22" s="160">
        <v>1.25</v>
      </c>
      <c r="F22" s="160">
        <v>1.5</v>
      </c>
      <c r="G22" s="160">
        <v>1.5</v>
      </c>
      <c r="H22" s="160">
        <v>1.1000000000000001</v>
      </c>
      <c r="I22" s="160">
        <v>1.25</v>
      </c>
      <c r="J22" s="160">
        <v>1.5</v>
      </c>
      <c r="K22" s="160">
        <v>1.5</v>
      </c>
      <c r="L22" s="160">
        <v>1.25</v>
      </c>
      <c r="M22" s="160">
        <v>1.5</v>
      </c>
      <c r="N22" s="160">
        <v>3</v>
      </c>
      <c r="O22" s="175"/>
      <c r="P22" s="99"/>
      <c r="Q22" s="99"/>
      <c r="R22" s="99"/>
      <c r="S22" s="99"/>
      <c r="T22" s="93"/>
      <c r="U22" s="93"/>
      <c r="V22" s="93"/>
      <c r="W22" s="93"/>
      <c r="X22" s="93"/>
      <c r="Y22" s="93"/>
      <c r="Z22" s="93"/>
      <c r="AA22" s="93"/>
      <c r="AB22" s="93"/>
      <c r="AC22" s="93"/>
      <c r="AD22" s="93"/>
      <c r="AE22" s="93"/>
    </row>
    <row r="23" spans="2:31" x14ac:dyDescent="0.3">
      <c r="B23" s="91">
        <v>2022</v>
      </c>
      <c r="C23" s="92"/>
      <c r="D23" s="160">
        <v>1.1000000000000001</v>
      </c>
      <c r="E23" s="160">
        <v>1.25</v>
      </c>
      <c r="F23" s="160">
        <v>1.5</v>
      </c>
      <c r="G23" s="160">
        <v>1.5</v>
      </c>
      <c r="H23" s="160">
        <v>1.1000000000000001</v>
      </c>
      <c r="I23" s="160">
        <v>1.25</v>
      </c>
      <c r="J23" s="160">
        <v>1.5</v>
      </c>
      <c r="K23" s="160">
        <v>1.5</v>
      </c>
      <c r="L23" s="160">
        <v>1.25</v>
      </c>
      <c r="M23" s="160">
        <v>1.5</v>
      </c>
      <c r="N23" s="160">
        <v>3</v>
      </c>
      <c r="O23" s="175"/>
      <c r="P23" s="99"/>
      <c r="Q23" s="99"/>
      <c r="R23" s="99"/>
      <c r="S23" s="99"/>
      <c r="T23" s="93"/>
      <c r="U23" s="93"/>
      <c r="V23" s="93"/>
      <c r="W23" s="93"/>
      <c r="X23" s="93"/>
      <c r="Y23" s="93"/>
      <c r="Z23" s="93"/>
      <c r="AA23" s="93"/>
      <c r="AB23" s="93"/>
      <c r="AC23" s="93"/>
      <c r="AD23" s="93"/>
      <c r="AE23" s="93"/>
    </row>
    <row r="24" spans="2:31" x14ac:dyDescent="0.3">
      <c r="B24" s="91">
        <v>2023</v>
      </c>
      <c r="C24" s="92"/>
      <c r="D24" s="160">
        <v>1.1000000000000001</v>
      </c>
      <c r="E24" s="160">
        <v>1.25</v>
      </c>
      <c r="F24" s="160">
        <v>1.5</v>
      </c>
      <c r="G24" s="160">
        <v>1.5</v>
      </c>
      <c r="H24" s="160">
        <v>1.1000000000000001</v>
      </c>
      <c r="I24" s="160">
        <v>1.25</v>
      </c>
      <c r="J24" s="160">
        <v>1.5</v>
      </c>
      <c r="K24" s="160">
        <v>1.5</v>
      </c>
      <c r="L24" s="160">
        <v>1.25</v>
      </c>
      <c r="M24" s="160">
        <v>1.5</v>
      </c>
      <c r="N24" s="160">
        <v>3</v>
      </c>
      <c r="O24" s="175"/>
      <c r="P24" s="99"/>
      <c r="Q24" s="99"/>
      <c r="R24" s="99"/>
      <c r="S24" s="99"/>
      <c r="T24" s="93"/>
      <c r="U24" s="93"/>
      <c r="V24" s="93"/>
      <c r="W24" s="93"/>
      <c r="X24" s="93"/>
      <c r="Y24" s="93"/>
      <c r="Z24" s="93"/>
      <c r="AA24" s="93"/>
      <c r="AB24" s="93"/>
      <c r="AC24" s="93"/>
      <c r="AD24" s="93"/>
      <c r="AE24" s="93"/>
    </row>
    <row r="25" spans="2:31" x14ac:dyDescent="0.3">
      <c r="B25" s="338" t="s">
        <v>189</v>
      </c>
      <c r="C25" s="93"/>
      <c r="D25" s="93"/>
      <c r="E25" s="93"/>
      <c r="F25" s="93"/>
      <c r="G25" s="93"/>
      <c r="H25" s="99"/>
      <c r="I25" s="99"/>
      <c r="J25" s="99"/>
      <c r="K25" s="99"/>
      <c r="L25" s="99"/>
      <c r="M25" s="99"/>
      <c r="N25" s="99"/>
      <c r="O25" s="99"/>
      <c r="P25" s="99"/>
      <c r="Q25" s="99"/>
      <c r="R25" s="99"/>
      <c r="S25" s="99"/>
      <c r="T25" s="93"/>
      <c r="U25" s="93"/>
      <c r="V25" s="93"/>
      <c r="W25" s="93"/>
      <c r="X25" s="93"/>
      <c r="Y25" s="93"/>
      <c r="Z25" s="93"/>
      <c r="AA25" s="93"/>
      <c r="AB25" s="93"/>
      <c r="AC25" s="93"/>
      <c r="AD25" s="93"/>
      <c r="AE25" s="93"/>
    </row>
    <row r="26" spans="2:31" x14ac:dyDescent="0.3">
      <c r="B26" s="73" t="s">
        <v>49</v>
      </c>
      <c r="C26" s="94"/>
      <c r="D26" s="94"/>
      <c r="E26" s="94"/>
      <c r="F26" s="94"/>
      <c r="G26" s="94"/>
      <c r="H26" s="94"/>
      <c r="I26" s="94"/>
      <c r="J26" s="94"/>
      <c r="K26" s="94"/>
      <c r="L26" s="94"/>
      <c r="M26" s="94"/>
      <c r="N26" s="94"/>
      <c r="O26" s="94"/>
      <c r="P26" s="94"/>
      <c r="Q26" s="94"/>
      <c r="R26" s="94"/>
      <c r="S26" s="94"/>
      <c r="T26" s="96"/>
      <c r="U26" s="96"/>
      <c r="V26" s="96"/>
      <c r="W26" s="96"/>
      <c r="X26" s="96"/>
      <c r="Y26" s="96"/>
      <c r="Z26" s="96"/>
      <c r="AA26" s="96"/>
      <c r="AB26" s="96"/>
      <c r="AC26" s="96"/>
      <c r="AD26" s="96"/>
      <c r="AE26" s="96"/>
    </row>
    <row r="27" spans="2:31" x14ac:dyDescent="0.3">
      <c r="B27" s="73" t="s">
        <v>48</v>
      </c>
      <c r="C27" s="94"/>
      <c r="D27" s="105"/>
      <c r="E27" s="105"/>
      <c r="F27" s="105"/>
      <c r="G27" s="105"/>
      <c r="H27" s="176"/>
      <c r="I27" s="105"/>
      <c r="J27" s="105"/>
      <c r="K27" s="105"/>
      <c r="L27" s="105"/>
      <c r="M27" s="105"/>
      <c r="N27" s="105"/>
      <c r="O27" s="105"/>
      <c r="P27" s="105"/>
      <c r="Q27" s="105"/>
      <c r="R27" s="105"/>
      <c r="S27" s="105"/>
      <c r="T27" s="106"/>
      <c r="U27" s="106"/>
      <c r="V27" s="106"/>
      <c r="W27" s="106"/>
      <c r="X27" s="106"/>
      <c r="Y27" s="106"/>
      <c r="Z27" s="106"/>
      <c r="AA27" s="106"/>
      <c r="AB27" s="106"/>
      <c r="AC27" s="106"/>
      <c r="AD27" s="106"/>
      <c r="AE27" s="106"/>
    </row>
    <row r="28" spans="2:31" ht="14.4" customHeight="1" x14ac:dyDescent="0.3">
      <c r="B28" s="406" t="s">
        <v>18</v>
      </c>
      <c r="C28" s="405"/>
      <c r="D28" s="407" t="s">
        <v>44</v>
      </c>
      <c r="E28" s="408"/>
      <c r="F28" s="408"/>
      <c r="G28" s="409"/>
      <c r="H28" s="407" t="s">
        <v>46</v>
      </c>
      <c r="I28" s="408"/>
      <c r="J28" s="408"/>
      <c r="K28" s="408"/>
      <c r="L28" s="408"/>
      <c r="M28" s="408"/>
      <c r="N28" s="408"/>
      <c r="O28" s="408"/>
      <c r="P28" s="408"/>
      <c r="Q28" s="408"/>
      <c r="R28" s="408"/>
      <c r="S28" s="409"/>
      <c r="T28" s="407" t="s">
        <v>45</v>
      </c>
      <c r="U28" s="408"/>
      <c r="V28" s="408"/>
      <c r="W28" s="408"/>
      <c r="X28" s="408"/>
      <c r="Y28" s="408"/>
      <c r="Z28" s="408"/>
      <c r="AA28" s="408"/>
      <c r="AB28" s="408"/>
      <c r="AC28" s="408"/>
      <c r="AD28" s="408"/>
      <c r="AE28" s="409"/>
    </row>
    <row r="29" spans="2:31" x14ac:dyDescent="0.3">
      <c r="B29" s="406"/>
      <c r="C29" s="405"/>
      <c r="D29" s="88" t="s">
        <v>39</v>
      </c>
      <c r="E29" s="88" t="s">
        <v>40</v>
      </c>
      <c r="F29" s="88" t="s">
        <v>41</v>
      </c>
      <c r="G29" s="88" t="s">
        <v>42</v>
      </c>
      <c r="H29" s="88" t="s">
        <v>24</v>
      </c>
      <c r="I29" s="88" t="s">
        <v>25</v>
      </c>
      <c r="J29" s="88" t="s">
        <v>26</v>
      </c>
      <c r="K29" s="88" t="s">
        <v>27</v>
      </c>
      <c r="L29" s="88" t="s">
        <v>17</v>
      </c>
      <c r="M29" s="88" t="s">
        <v>28</v>
      </c>
      <c r="N29" s="88" t="s">
        <v>29</v>
      </c>
      <c r="O29" s="88" t="s">
        <v>30</v>
      </c>
      <c r="P29" s="88" t="s">
        <v>31</v>
      </c>
      <c r="Q29" s="88" t="s">
        <v>32</v>
      </c>
      <c r="R29" s="88" t="s">
        <v>33</v>
      </c>
      <c r="S29" s="88" t="s">
        <v>34</v>
      </c>
      <c r="T29" s="88" t="s">
        <v>24</v>
      </c>
      <c r="U29" s="88" t="s">
        <v>25</v>
      </c>
      <c r="V29" s="88" t="s">
        <v>26</v>
      </c>
      <c r="W29" s="88" t="s">
        <v>27</v>
      </c>
      <c r="X29" s="88" t="s">
        <v>17</v>
      </c>
      <c r="Y29" s="88" t="s">
        <v>28</v>
      </c>
      <c r="Z29" s="88" t="s">
        <v>29</v>
      </c>
      <c r="AA29" s="88" t="s">
        <v>30</v>
      </c>
      <c r="AB29" s="88" t="s">
        <v>31</v>
      </c>
      <c r="AC29" s="88" t="s">
        <v>32</v>
      </c>
      <c r="AD29" s="88" t="s">
        <v>33</v>
      </c>
      <c r="AE29" s="88" t="s">
        <v>34</v>
      </c>
    </row>
    <row r="30" spans="2:31" x14ac:dyDescent="0.3">
      <c r="B30" s="91">
        <v>2019</v>
      </c>
      <c r="C30" s="92"/>
      <c r="D30" s="104">
        <v>3.0822222222222218</v>
      </c>
      <c r="E30" s="104">
        <v>1.1230769230769231</v>
      </c>
      <c r="F30" s="104">
        <v>0.95217391304347809</v>
      </c>
      <c r="G30" s="104">
        <v>1.9043478260869562</v>
      </c>
      <c r="H30" s="104">
        <v>2.7473118279569886</v>
      </c>
      <c r="I30" s="104">
        <v>3.0416666666666661</v>
      </c>
      <c r="J30" s="104">
        <v>1.9623655913978493</v>
      </c>
      <c r="K30" s="104">
        <v>1.6222222222222225</v>
      </c>
      <c r="L30" s="104">
        <v>1.0204301075268816</v>
      </c>
      <c r="M30" s="104">
        <v>1.0544444444444445</v>
      </c>
      <c r="N30" s="104">
        <v>1.0204301075268816</v>
      </c>
      <c r="O30" s="104">
        <v>1.0204301075268816</v>
      </c>
      <c r="P30" s="104">
        <v>1.0544444444444445</v>
      </c>
      <c r="Q30" s="104">
        <v>1.5698924731182797</v>
      </c>
      <c r="R30" s="104">
        <v>1.6222222222222225</v>
      </c>
      <c r="S30" s="104">
        <v>2.7473118279569886</v>
      </c>
      <c r="T30" s="104">
        <v>2.8388888888888881</v>
      </c>
      <c r="U30" s="104">
        <v>2.8388888888888881</v>
      </c>
      <c r="V30" s="104">
        <v>2.0277777777777777</v>
      </c>
      <c r="W30" s="104">
        <v>1.622222222222222</v>
      </c>
      <c r="X30" s="104">
        <v>1.0544444444444443</v>
      </c>
      <c r="Y30" s="104">
        <v>1.0544444444444443</v>
      </c>
      <c r="Z30" s="104">
        <v>1.0544444444444443</v>
      </c>
      <c r="AA30" s="104">
        <v>1.0544444444444443</v>
      </c>
      <c r="AB30" s="104">
        <v>1.0544444444444443</v>
      </c>
      <c r="AC30" s="104">
        <v>1.622222222222222</v>
      </c>
      <c r="AD30" s="104">
        <v>1.622222222222222</v>
      </c>
      <c r="AE30" s="104">
        <v>2.8388888888888881</v>
      </c>
    </row>
    <row r="31" spans="2:31" x14ac:dyDescent="0.3">
      <c r="B31" s="91">
        <v>2020</v>
      </c>
      <c r="C31" s="92"/>
      <c r="D31" s="341">
        <f>'Calculation of SFs_Domestic'!C56</f>
        <v>1.63</v>
      </c>
      <c r="E31" s="341">
        <f>'Calculation of SFs_Domestic'!D56</f>
        <v>0.72</v>
      </c>
      <c r="F31" s="341">
        <f>'Calculation of SFs_Domestic'!E56</f>
        <v>0.43</v>
      </c>
      <c r="G31" s="341">
        <f>'Calculation of SFs_Domestic'!F56</f>
        <v>1.22</v>
      </c>
      <c r="H31" s="341">
        <f>'Calculation of SFs_Domestic'!C53</f>
        <v>1.95</v>
      </c>
      <c r="I31" s="341">
        <f>'Calculation of SFs_Domestic'!D53</f>
        <v>1.46</v>
      </c>
      <c r="J31" s="341">
        <f>'Calculation of SFs_Domestic'!E53</f>
        <v>1.47</v>
      </c>
      <c r="K31" s="341">
        <f>'Calculation of SFs_Domestic'!F53</f>
        <v>0.87</v>
      </c>
      <c r="L31" s="341">
        <f>'Calculation of SFs_Domestic'!G53</f>
        <v>0.7</v>
      </c>
      <c r="M31" s="341">
        <f>'Calculation of SFs_Domestic'!H53</f>
        <v>0.6</v>
      </c>
      <c r="N31" s="341">
        <f>'Calculation of SFs_Domestic'!I53</f>
        <v>0.26</v>
      </c>
      <c r="O31" s="341">
        <f>'Calculation of SFs_Domestic'!J53</f>
        <v>0.27</v>
      </c>
      <c r="P31" s="341">
        <f>'Calculation of SFs_Domestic'!K53</f>
        <v>0.77</v>
      </c>
      <c r="Q31" s="341">
        <f>'Calculation of SFs_Domestic'!L53</f>
        <v>1.08</v>
      </c>
      <c r="R31" s="341">
        <f>'Calculation of SFs_Domestic'!M53</f>
        <v>1.2</v>
      </c>
      <c r="S31" s="341">
        <f>'Calculation of SFs_Domestic'!N53</f>
        <v>1.37</v>
      </c>
      <c r="T31" s="341">
        <f>'Calculation of SFs_Domestic'!C54</f>
        <v>1.95</v>
      </c>
      <c r="U31" s="341">
        <f>'Calculation of SFs_Domestic'!D54</f>
        <v>1.46</v>
      </c>
      <c r="V31" s="341">
        <f>'Calculation of SFs_Domestic'!E54</f>
        <v>1.47</v>
      </c>
      <c r="W31" s="341">
        <f>'Calculation of SFs_Domestic'!F54</f>
        <v>0.87</v>
      </c>
      <c r="X31" s="341">
        <f>'Calculation of SFs_Domestic'!G54</f>
        <v>0.7</v>
      </c>
      <c r="Y31" s="341">
        <f>'Calculation of SFs_Domestic'!H54</f>
        <v>0.6</v>
      </c>
      <c r="Z31" s="341">
        <f>'Calculation of SFs_Domestic'!I54</f>
        <v>0.26</v>
      </c>
      <c r="AA31" s="341">
        <f>'Calculation of SFs_Domestic'!J54</f>
        <v>0.27</v>
      </c>
      <c r="AB31" s="341">
        <f>'Calculation of SFs_Domestic'!K54</f>
        <v>0.77</v>
      </c>
      <c r="AC31" s="341">
        <f>'Calculation of SFs_Domestic'!L54</f>
        <v>1.08</v>
      </c>
      <c r="AD31" s="341">
        <f>'Calculation of SFs_Domestic'!M54</f>
        <v>1.2</v>
      </c>
      <c r="AE31" s="341">
        <f>'Calculation of SFs_Domestic'!N54</f>
        <v>1.37</v>
      </c>
    </row>
    <row r="32" spans="2:31" x14ac:dyDescent="0.3">
      <c r="B32" s="91">
        <v>2021</v>
      </c>
      <c r="C32" s="92"/>
      <c r="D32" s="160">
        <f>D31</f>
        <v>1.63</v>
      </c>
      <c r="E32" s="160">
        <f t="shared" ref="E32:AE32" si="9">E31</f>
        <v>0.72</v>
      </c>
      <c r="F32" s="160">
        <f t="shared" si="9"/>
        <v>0.43</v>
      </c>
      <c r="G32" s="160">
        <f t="shared" si="9"/>
        <v>1.22</v>
      </c>
      <c r="H32" s="160">
        <f t="shared" si="9"/>
        <v>1.95</v>
      </c>
      <c r="I32" s="160">
        <f t="shared" si="9"/>
        <v>1.46</v>
      </c>
      <c r="J32" s="160">
        <f t="shared" si="9"/>
        <v>1.47</v>
      </c>
      <c r="K32" s="160">
        <f t="shared" si="9"/>
        <v>0.87</v>
      </c>
      <c r="L32" s="160">
        <f t="shared" si="9"/>
        <v>0.7</v>
      </c>
      <c r="M32" s="160">
        <f t="shared" si="9"/>
        <v>0.6</v>
      </c>
      <c r="N32" s="160">
        <f t="shared" si="9"/>
        <v>0.26</v>
      </c>
      <c r="O32" s="160">
        <f t="shared" si="9"/>
        <v>0.27</v>
      </c>
      <c r="P32" s="160">
        <f t="shared" si="9"/>
        <v>0.77</v>
      </c>
      <c r="Q32" s="160">
        <f t="shared" si="9"/>
        <v>1.08</v>
      </c>
      <c r="R32" s="160">
        <f t="shared" si="9"/>
        <v>1.2</v>
      </c>
      <c r="S32" s="160">
        <f t="shared" si="9"/>
        <v>1.37</v>
      </c>
      <c r="T32" s="160">
        <f t="shared" si="9"/>
        <v>1.95</v>
      </c>
      <c r="U32" s="160">
        <f t="shared" si="9"/>
        <v>1.46</v>
      </c>
      <c r="V32" s="160">
        <f t="shared" si="9"/>
        <v>1.47</v>
      </c>
      <c r="W32" s="160">
        <f t="shared" si="9"/>
        <v>0.87</v>
      </c>
      <c r="X32" s="160">
        <f t="shared" si="9"/>
        <v>0.7</v>
      </c>
      <c r="Y32" s="160">
        <f t="shared" si="9"/>
        <v>0.6</v>
      </c>
      <c r="Z32" s="160">
        <f t="shared" si="9"/>
        <v>0.26</v>
      </c>
      <c r="AA32" s="160">
        <f t="shared" si="9"/>
        <v>0.27</v>
      </c>
      <c r="AB32" s="160">
        <f t="shared" si="9"/>
        <v>0.77</v>
      </c>
      <c r="AC32" s="160">
        <f t="shared" si="9"/>
        <v>1.08</v>
      </c>
      <c r="AD32" s="160">
        <f t="shared" si="9"/>
        <v>1.2</v>
      </c>
      <c r="AE32" s="160">
        <f t="shared" si="9"/>
        <v>1.37</v>
      </c>
    </row>
    <row r="33" spans="2:43" x14ac:dyDescent="0.3">
      <c r="B33" s="91">
        <v>2022</v>
      </c>
      <c r="C33" s="92"/>
      <c r="D33" s="160">
        <f>D31</f>
        <v>1.63</v>
      </c>
      <c r="E33" s="160">
        <f t="shared" ref="E33:AE33" si="10">E31</f>
        <v>0.72</v>
      </c>
      <c r="F33" s="160">
        <f t="shared" si="10"/>
        <v>0.43</v>
      </c>
      <c r="G33" s="160">
        <f t="shared" si="10"/>
        <v>1.22</v>
      </c>
      <c r="H33" s="160">
        <f t="shared" si="10"/>
        <v>1.95</v>
      </c>
      <c r="I33" s="160">
        <f t="shared" si="10"/>
        <v>1.46</v>
      </c>
      <c r="J33" s="160">
        <f t="shared" si="10"/>
        <v>1.47</v>
      </c>
      <c r="K33" s="160">
        <f t="shared" si="10"/>
        <v>0.87</v>
      </c>
      <c r="L33" s="160">
        <f t="shared" si="10"/>
        <v>0.7</v>
      </c>
      <c r="M33" s="160">
        <f t="shared" si="10"/>
        <v>0.6</v>
      </c>
      <c r="N33" s="160">
        <f t="shared" si="10"/>
        <v>0.26</v>
      </c>
      <c r="O33" s="160">
        <f t="shared" si="10"/>
        <v>0.27</v>
      </c>
      <c r="P33" s="160">
        <f t="shared" si="10"/>
        <v>0.77</v>
      </c>
      <c r="Q33" s="160">
        <f t="shared" si="10"/>
        <v>1.08</v>
      </c>
      <c r="R33" s="160">
        <f t="shared" si="10"/>
        <v>1.2</v>
      </c>
      <c r="S33" s="160">
        <f t="shared" si="10"/>
        <v>1.37</v>
      </c>
      <c r="T33" s="160">
        <f t="shared" si="10"/>
        <v>1.95</v>
      </c>
      <c r="U33" s="160">
        <f t="shared" si="10"/>
        <v>1.46</v>
      </c>
      <c r="V33" s="160">
        <f t="shared" si="10"/>
        <v>1.47</v>
      </c>
      <c r="W33" s="160">
        <f t="shared" si="10"/>
        <v>0.87</v>
      </c>
      <c r="X33" s="160">
        <f t="shared" si="10"/>
        <v>0.7</v>
      </c>
      <c r="Y33" s="160">
        <f t="shared" si="10"/>
        <v>0.6</v>
      </c>
      <c r="Z33" s="160">
        <f t="shared" si="10"/>
        <v>0.26</v>
      </c>
      <c r="AA33" s="160">
        <f t="shared" si="10"/>
        <v>0.27</v>
      </c>
      <c r="AB33" s="160">
        <f t="shared" si="10"/>
        <v>0.77</v>
      </c>
      <c r="AC33" s="160">
        <f t="shared" si="10"/>
        <v>1.08</v>
      </c>
      <c r="AD33" s="160">
        <f t="shared" si="10"/>
        <v>1.2</v>
      </c>
      <c r="AE33" s="160">
        <f t="shared" si="10"/>
        <v>1.37</v>
      </c>
    </row>
    <row r="34" spans="2:43" x14ac:dyDescent="0.3">
      <c r="B34" s="91">
        <v>2023</v>
      </c>
      <c r="C34" s="92"/>
      <c r="D34" s="160">
        <f>D31</f>
        <v>1.63</v>
      </c>
      <c r="E34" s="160">
        <f t="shared" ref="E34:AE34" si="11">E31</f>
        <v>0.72</v>
      </c>
      <c r="F34" s="160">
        <f t="shared" si="11"/>
        <v>0.43</v>
      </c>
      <c r="G34" s="160">
        <f t="shared" si="11"/>
        <v>1.22</v>
      </c>
      <c r="H34" s="160">
        <f t="shared" si="11"/>
        <v>1.95</v>
      </c>
      <c r="I34" s="160">
        <f t="shared" si="11"/>
        <v>1.46</v>
      </c>
      <c r="J34" s="160">
        <f t="shared" si="11"/>
        <v>1.47</v>
      </c>
      <c r="K34" s="160">
        <f t="shared" si="11"/>
        <v>0.87</v>
      </c>
      <c r="L34" s="160">
        <f t="shared" si="11"/>
        <v>0.7</v>
      </c>
      <c r="M34" s="160">
        <f t="shared" si="11"/>
        <v>0.6</v>
      </c>
      <c r="N34" s="160">
        <f t="shared" si="11"/>
        <v>0.26</v>
      </c>
      <c r="O34" s="160">
        <f t="shared" si="11"/>
        <v>0.27</v>
      </c>
      <c r="P34" s="160">
        <f t="shared" si="11"/>
        <v>0.77</v>
      </c>
      <c r="Q34" s="160">
        <f t="shared" si="11"/>
        <v>1.08</v>
      </c>
      <c r="R34" s="160">
        <f t="shared" si="11"/>
        <v>1.2</v>
      </c>
      <c r="S34" s="160">
        <f t="shared" si="11"/>
        <v>1.37</v>
      </c>
      <c r="T34" s="160">
        <f t="shared" si="11"/>
        <v>1.95</v>
      </c>
      <c r="U34" s="160">
        <f t="shared" si="11"/>
        <v>1.46</v>
      </c>
      <c r="V34" s="160">
        <f t="shared" si="11"/>
        <v>1.47</v>
      </c>
      <c r="W34" s="160">
        <f t="shared" si="11"/>
        <v>0.87</v>
      </c>
      <c r="X34" s="160">
        <f t="shared" si="11"/>
        <v>0.7</v>
      </c>
      <c r="Y34" s="160">
        <f t="shared" si="11"/>
        <v>0.6</v>
      </c>
      <c r="Z34" s="160">
        <f t="shared" si="11"/>
        <v>0.26</v>
      </c>
      <c r="AA34" s="160">
        <f t="shared" si="11"/>
        <v>0.27</v>
      </c>
      <c r="AB34" s="160">
        <f t="shared" si="11"/>
        <v>0.77</v>
      </c>
      <c r="AC34" s="160">
        <f t="shared" si="11"/>
        <v>1.08</v>
      </c>
      <c r="AD34" s="160">
        <f t="shared" si="11"/>
        <v>1.2</v>
      </c>
      <c r="AE34" s="160">
        <f t="shared" si="11"/>
        <v>1.37</v>
      </c>
    </row>
    <row r="35" spans="2:43" x14ac:dyDescent="0.3">
      <c r="B35" s="73" t="s">
        <v>147</v>
      </c>
      <c r="C35" s="94"/>
      <c r="D35" s="105"/>
      <c r="E35" s="105"/>
      <c r="F35" s="105"/>
      <c r="G35" s="105"/>
      <c r="H35" s="105"/>
      <c r="I35" s="105"/>
      <c r="J35" s="105"/>
      <c r="K35" s="105"/>
      <c r="L35" s="105"/>
      <c r="M35" s="105"/>
      <c r="N35" s="105"/>
      <c r="O35" s="105"/>
      <c r="P35" s="105"/>
      <c r="Q35" s="105"/>
      <c r="R35" s="105"/>
      <c r="S35" s="105"/>
      <c r="T35" s="106"/>
      <c r="U35" s="106"/>
      <c r="V35" s="106"/>
      <c r="W35" s="106"/>
      <c r="X35" s="106"/>
      <c r="Y35" s="106"/>
      <c r="Z35" s="106"/>
      <c r="AA35" s="106"/>
      <c r="AB35" s="106"/>
      <c r="AC35" s="106"/>
      <c r="AD35" s="106"/>
      <c r="AE35" s="106"/>
    </row>
    <row r="36" spans="2:43" x14ac:dyDescent="0.3">
      <c r="B36" s="406" t="s">
        <v>18</v>
      </c>
      <c r="C36" s="405"/>
      <c r="D36" s="407" t="s">
        <v>44</v>
      </c>
      <c r="E36" s="408"/>
      <c r="F36" s="408"/>
      <c r="G36" s="409"/>
      <c r="H36" s="407" t="s">
        <v>46</v>
      </c>
      <c r="I36" s="408"/>
      <c r="J36" s="408"/>
      <c r="K36" s="408"/>
      <c r="L36" s="408"/>
      <c r="M36" s="408"/>
      <c r="N36" s="408"/>
      <c r="O36" s="408"/>
      <c r="P36" s="408"/>
      <c r="Q36" s="408"/>
      <c r="R36" s="408"/>
      <c r="S36" s="409"/>
      <c r="T36" s="407" t="s">
        <v>45</v>
      </c>
      <c r="U36" s="408"/>
      <c r="V36" s="408"/>
      <c r="W36" s="408"/>
      <c r="X36" s="408"/>
      <c r="Y36" s="408"/>
      <c r="Z36" s="408"/>
      <c r="AA36" s="408"/>
      <c r="AB36" s="408"/>
      <c r="AC36" s="408"/>
      <c r="AD36" s="408"/>
      <c r="AE36" s="409"/>
    </row>
    <row r="37" spans="2:43" x14ac:dyDescent="0.3">
      <c r="B37" s="406"/>
      <c r="C37" s="405"/>
      <c r="D37" s="88" t="s">
        <v>39</v>
      </c>
      <c r="E37" s="88" t="s">
        <v>40</v>
      </c>
      <c r="F37" s="88" t="s">
        <v>41</v>
      </c>
      <c r="G37" s="88" t="s">
        <v>42</v>
      </c>
      <c r="H37" s="88" t="s">
        <v>24</v>
      </c>
      <c r="I37" s="88" t="s">
        <v>25</v>
      </c>
      <c r="J37" s="88" t="s">
        <v>26</v>
      </c>
      <c r="K37" s="88" t="s">
        <v>27</v>
      </c>
      <c r="L37" s="88" t="s">
        <v>17</v>
      </c>
      <c r="M37" s="88" t="s">
        <v>28</v>
      </c>
      <c r="N37" s="88" t="s">
        <v>29</v>
      </c>
      <c r="O37" s="88" t="s">
        <v>30</v>
      </c>
      <c r="P37" s="88" t="s">
        <v>31</v>
      </c>
      <c r="Q37" s="88" t="s">
        <v>32</v>
      </c>
      <c r="R37" s="88" t="s">
        <v>33</v>
      </c>
      <c r="S37" s="88" t="s">
        <v>34</v>
      </c>
      <c r="T37" s="88" t="s">
        <v>24</v>
      </c>
      <c r="U37" s="88" t="s">
        <v>25</v>
      </c>
      <c r="V37" s="88" t="s">
        <v>26</v>
      </c>
      <c r="W37" s="88" t="s">
        <v>27</v>
      </c>
      <c r="X37" s="88" t="s">
        <v>17</v>
      </c>
      <c r="Y37" s="88" t="s">
        <v>28</v>
      </c>
      <c r="Z37" s="88" t="s">
        <v>29</v>
      </c>
      <c r="AA37" s="88" t="s">
        <v>30</v>
      </c>
      <c r="AB37" s="88" t="s">
        <v>31</v>
      </c>
      <c r="AC37" s="88" t="s">
        <v>32</v>
      </c>
      <c r="AD37" s="88" t="s">
        <v>33</v>
      </c>
      <c r="AE37" s="88" t="s">
        <v>34</v>
      </c>
    </row>
    <row r="38" spans="2:43" x14ac:dyDescent="0.3">
      <c r="B38" s="91">
        <v>2019</v>
      </c>
      <c r="C38" s="92"/>
      <c r="D38" s="104">
        <v>3.0822222222222218</v>
      </c>
      <c r="E38" s="104">
        <v>1.1230769230769231</v>
      </c>
      <c r="F38" s="104">
        <v>0.95217391304347809</v>
      </c>
      <c r="G38" s="104">
        <v>1.9043478260869562</v>
      </c>
      <c r="H38" s="104">
        <v>2.7473118279569886</v>
      </c>
      <c r="I38" s="104">
        <v>3.0416666666666661</v>
      </c>
      <c r="J38" s="104">
        <v>1.9623655913978493</v>
      </c>
      <c r="K38" s="104">
        <v>1.6222222222222225</v>
      </c>
      <c r="L38" s="104">
        <v>1.0204301075268816</v>
      </c>
      <c r="M38" s="104">
        <v>1.0544444444444445</v>
      </c>
      <c r="N38" s="104">
        <v>1.0204301075268816</v>
      </c>
      <c r="O38" s="104">
        <v>1.0204301075268816</v>
      </c>
      <c r="P38" s="104">
        <v>1.0544444444444445</v>
      </c>
      <c r="Q38" s="104">
        <v>1.5698924731182797</v>
      </c>
      <c r="R38" s="104">
        <v>1.6222222222222225</v>
      </c>
      <c r="S38" s="104">
        <v>2.7473118279569886</v>
      </c>
      <c r="T38" s="104">
        <v>2.8388888888888881</v>
      </c>
      <c r="U38" s="104">
        <v>2.8388888888888881</v>
      </c>
      <c r="V38" s="104">
        <v>2.0277777777777777</v>
      </c>
      <c r="W38" s="104">
        <v>1.622222222222222</v>
      </c>
      <c r="X38" s="104">
        <v>1.0544444444444443</v>
      </c>
      <c r="Y38" s="104">
        <v>1.0544444444444443</v>
      </c>
      <c r="Z38" s="104">
        <v>1.0544444444444443</v>
      </c>
      <c r="AA38" s="104">
        <v>1.0544444444444443</v>
      </c>
      <c r="AB38" s="104">
        <v>1.0544444444444443</v>
      </c>
      <c r="AC38" s="104">
        <v>1.622222222222222</v>
      </c>
      <c r="AD38" s="104">
        <v>1.622222222222222</v>
      </c>
      <c r="AE38" s="104">
        <v>2.8388888888888881</v>
      </c>
    </row>
    <row r="39" spans="2:43" x14ac:dyDescent="0.3">
      <c r="B39" s="91">
        <v>2020</v>
      </c>
      <c r="C39" s="92"/>
      <c r="D39" s="121">
        <f>'Calculation of SFs_Sakiai'!C56</f>
        <v>1.59</v>
      </c>
      <c r="E39" s="121">
        <f>'Calculation of SFs_Sakiai'!D56</f>
        <v>0.66</v>
      </c>
      <c r="F39" s="121">
        <f>'Calculation of SFs_Sakiai'!E56</f>
        <v>0.65</v>
      </c>
      <c r="G39" s="121">
        <f>'Calculation of SFs_Sakiai'!F56</f>
        <v>1.1000000000000001</v>
      </c>
      <c r="H39" s="121">
        <f>'Calculation of SFs_Sakiai'!C53</f>
        <v>1.63</v>
      </c>
      <c r="I39" s="121">
        <f>'Calculation of SFs_Sakiai'!D53</f>
        <v>1.45</v>
      </c>
      <c r="J39" s="121">
        <f>'Calculation of SFs_Sakiai'!E53</f>
        <v>1.7</v>
      </c>
      <c r="K39" s="121">
        <f>'Calculation of SFs_Sakiai'!F53</f>
        <v>0.74</v>
      </c>
      <c r="L39" s="121">
        <f>'Calculation of SFs_Sakiai'!G53</f>
        <v>0.59</v>
      </c>
      <c r="M39" s="121">
        <f>'Calculation of SFs_Sakiai'!H53</f>
        <v>0.65</v>
      </c>
      <c r="N39" s="121">
        <f>'Calculation of SFs_Sakiai'!I53</f>
        <v>0.43</v>
      </c>
      <c r="O39" s="121">
        <f>'Calculation of SFs_Sakiai'!J53</f>
        <v>0.67</v>
      </c>
      <c r="P39" s="121">
        <f>'Calculation of SFs_Sakiai'!K53</f>
        <v>0.84</v>
      </c>
      <c r="Q39" s="121">
        <f>'Calculation of SFs_Sakiai'!L53</f>
        <v>1.06</v>
      </c>
      <c r="R39" s="121">
        <f>'Calculation of SFs_Sakiai'!M53</f>
        <v>1.1399999999999999</v>
      </c>
      <c r="S39" s="121">
        <f>'Calculation of SFs_Sakiai'!N53</f>
        <v>1.1100000000000001</v>
      </c>
      <c r="T39" s="121">
        <f>'Calculation of SFs_Sakiai'!C54</f>
        <v>1.63</v>
      </c>
      <c r="U39" s="121">
        <f>'Calculation of SFs_Sakiai'!D54</f>
        <v>1.45</v>
      </c>
      <c r="V39" s="121">
        <f>'Calculation of SFs_Sakiai'!E54</f>
        <v>1.7</v>
      </c>
      <c r="W39" s="121">
        <f>'Calculation of SFs_Sakiai'!F54</f>
        <v>0.74</v>
      </c>
      <c r="X39" s="121">
        <f>'Calculation of SFs_Sakiai'!G54</f>
        <v>0.59</v>
      </c>
      <c r="Y39" s="121">
        <f>'Calculation of SFs_Sakiai'!H54</f>
        <v>0.65</v>
      </c>
      <c r="Z39" s="121">
        <f>'Calculation of SFs_Sakiai'!I54</f>
        <v>0.43</v>
      </c>
      <c r="AA39" s="121">
        <f>'Calculation of SFs_Sakiai'!J54</f>
        <v>0.67</v>
      </c>
      <c r="AB39" s="121">
        <f>'Calculation of SFs_Sakiai'!K54</f>
        <v>0.84</v>
      </c>
      <c r="AC39" s="121">
        <f>'Calculation of SFs_Sakiai'!L54</f>
        <v>1.06</v>
      </c>
      <c r="AD39" s="121">
        <f>'Calculation of SFs_Sakiai'!M54</f>
        <v>1.1399999999999999</v>
      </c>
      <c r="AE39" s="121">
        <f>'Calculation of SFs_Sakiai'!N54</f>
        <v>1.1100000000000001</v>
      </c>
    </row>
    <row r="40" spans="2:43" x14ac:dyDescent="0.3">
      <c r="B40" s="91">
        <v>2021</v>
      </c>
      <c r="C40" s="92"/>
      <c r="D40" s="160">
        <f>D39</f>
        <v>1.59</v>
      </c>
      <c r="E40" s="160">
        <f t="shared" ref="E40:AE40" si="12">E39</f>
        <v>0.66</v>
      </c>
      <c r="F40" s="160">
        <f t="shared" si="12"/>
        <v>0.65</v>
      </c>
      <c r="G40" s="160">
        <f t="shared" si="12"/>
        <v>1.1000000000000001</v>
      </c>
      <c r="H40" s="160">
        <f t="shared" si="12"/>
        <v>1.63</v>
      </c>
      <c r="I40" s="160">
        <f t="shared" si="12"/>
        <v>1.45</v>
      </c>
      <c r="J40" s="160">
        <f t="shared" si="12"/>
        <v>1.7</v>
      </c>
      <c r="K40" s="160">
        <f t="shared" si="12"/>
        <v>0.74</v>
      </c>
      <c r="L40" s="160">
        <f t="shared" si="12"/>
        <v>0.59</v>
      </c>
      <c r="M40" s="160">
        <f t="shared" si="12"/>
        <v>0.65</v>
      </c>
      <c r="N40" s="160">
        <f t="shared" si="12"/>
        <v>0.43</v>
      </c>
      <c r="O40" s="160">
        <f t="shared" si="12"/>
        <v>0.67</v>
      </c>
      <c r="P40" s="160">
        <f t="shared" si="12"/>
        <v>0.84</v>
      </c>
      <c r="Q40" s="160">
        <f t="shared" si="12"/>
        <v>1.06</v>
      </c>
      <c r="R40" s="160">
        <f t="shared" si="12"/>
        <v>1.1399999999999999</v>
      </c>
      <c r="S40" s="160">
        <f t="shared" si="12"/>
        <v>1.1100000000000001</v>
      </c>
      <c r="T40" s="160">
        <f t="shared" si="12"/>
        <v>1.63</v>
      </c>
      <c r="U40" s="160">
        <f t="shared" si="12"/>
        <v>1.45</v>
      </c>
      <c r="V40" s="160">
        <f t="shared" si="12"/>
        <v>1.7</v>
      </c>
      <c r="W40" s="160">
        <f t="shared" si="12"/>
        <v>0.74</v>
      </c>
      <c r="X40" s="160">
        <f t="shared" si="12"/>
        <v>0.59</v>
      </c>
      <c r="Y40" s="160">
        <f t="shared" si="12"/>
        <v>0.65</v>
      </c>
      <c r="Z40" s="160">
        <f t="shared" si="12"/>
        <v>0.43</v>
      </c>
      <c r="AA40" s="160">
        <f t="shared" si="12"/>
        <v>0.67</v>
      </c>
      <c r="AB40" s="160">
        <f t="shared" si="12"/>
        <v>0.84</v>
      </c>
      <c r="AC40" s="160">
        <f t="shared" si="12"/>
        <v>1.06</v>
      </c>
      <c r="AD40" s="160">
        <f t="shared" si="12"/>
        <v>1.1399999999999999</v>
      </c>
      <c r="AE40" s="160">
        <f t="shared" si="12"/>
        <v>1.1100000000000001</v>
      </c>
    </row>
    <row r="41" spans="2:43" x14ac:dyDescent="0.3">
      <c r="B41" s="91">
        <v>2022</v>
      </c>
      <c r="C41" s="92"/>
      <c r="D41" s="160">
        <f>D39</f>
        <v>1.59</v>
      </c>
      <c r="E41" s="160">
        <f t="shared" ref="E41:AE41" si="13">E39</f>
        <v>0.66</v>
      </c>
      <c r="F41" s="160">
        <f t="shared" si="13"/>
        <v>0.65</v>
      </c>
      <c r="G41" s="160">
        <f t="shared" si="13"/>
        <v>1.1000000000000001</v>
      </c>
      <c r="H41" s="160">
        <f t="shared" si="13"/>
        <v>1.63</v>
      </c>
      <c r="I41" s="160">
        <f t="shared" si="13"/>
        <v>1.45</v>
      </c>
      <c r="J41" s="160">
        <f t="shared" si="13"/>
        <v>1.7</v>
      </c>
      <c r="K41" s="160">
        <f t="shared" si="13"/>
        <v>0.74</v>
      </c>
      <c r="L41" s="160">
        <f t="shared" si="13"/>
        <v>0.59</v>
      </c>
      <c r="M41" s="160">
        <f t="shared" si="13"/>
        <v>0.65</v>
      </c>
      <c r="N41" s="160">
        <f t="shared" si="13"/>
        <v>0.43</v>
      </c>
      <c r="O41" s="160">
        <f t="shared" si="13"/>
        <v>0.67</v>
      </c>
      <c r="P41" s="160">
        <f t="shared" si="13"/>
        <v>0.84</v>
      </c>
      <c r="Q41" s="160">
        <f t="shared" si="13"/>
        <v>1.06</v>
      </c>
      <c r="R41" s="160">
        <f t="shared" si="13"/>
        <v>1.1399999999999999</v>
      </c>
      <c r="S41" s="160">
        <f t="shared" si="13"/>
        <v>1.1100000000000001</v>
      </c>
      <c r="T41" s="160">
        <f t="shared" si="13"/>
        <v>1.63</v>
      </c>
      <c r="U41" s="160">
        <f t="shared" si="13"/>
        <v>1.45</v>
      </c>
      <c r="V41" s="160">
        <f t="shared" si="13"/>
        <v>1.7</v>
      </c>
      <c r="W41" s="160">
        <f t="shared" si="13"/>
        <v>0.74</v>
      </c>
      <c r="X41" s="160">
        <f t="shared" si="13"/>
        <v>0.59</v>
      </c>
      <c r="Y41" s="160">
        <f t="shared" si="13"/>
        <v>0.65</v>
      </c>
      <c r="Z41" s="160">
        <f t="shared" si="13"/>
        <v>0.43</v>
      </c>
      <c r="AA41" s="160">
        <f t="shared" si="13"/>
        <v>0.67</v>
      </c>
      <c r="AB41" s="160">
        <f t="shared" si="13"/>
        <v>0.84</v>
      </c>
      <c r="AC41" s="160">
        <f t="shared" si="13"/>
        <v>1.06</v>
      </c>
      <c r="AD41" s="160">
        <f t="shared" si="13"/>
        <v>1.1399999999999999</v>
      </c>
      <c r="AE41" s="160">
        <f t="shared" si="13"/>
        <v>1.1100000000000001</v>
      </c>
    </row>
    <row r="42" spans="2:43" x14ac:dyDescent="0.3">
      <c r="B42" s="91">
        <v>2023</v>
      </c>
      <c r="C42" s="92"/>
      <c r="D42" s="160">
        <f>D39</f>
        <v>1.59</v>
      </c>
      <c r="E42" s="160">
        <f t="shared" ref="E42:AE42" si="14">E39</f>
        <v>0.66</v>
      </c>
      <c r="F42" s="160">
        <f t="shared" si="14"/>
        <v>0.65</v>
      </c>
      <c r="G42" s="160">
        <f t="shared" si="14"/>
        <v>1.1000000000000001</v>
      </c>
      <c r="H42" s="160">
        <f t="shared" si="14"/>
        <v>1.63</v>
      </c>
      <c r="I42" s="160">
        <f t="shared" si="14"/>
        <v>1.45</v>
      </c>
      <c r="J42" s="160">
        <f t="shared" si="14"/>
        <v>1.7</v>
      </c>
      <c r="K42" s="160">
        <f t="shared" si="14"/>
        <v>0.74</v>
      </c>
      <c r="L42" s="160">
        <f t="shared" si="14"/>
        <v>0.59</v>
      </c>
      <c r="M42" s="160">
        <f t="shared" si="14"/>
        <v>0.65</v>
      </c>
      <c r="N42" s="160">
        <f t="shared" si="14"/>
        <v>0.43</v>
      </c>
      <c r="O42" s="160">
        <f t="shared" si="14"/>
        <v>0.67</v>
      </c>
      <c r="P42" s="160">
        <f t="shared" si="14"/>
        <v>0.84</v>
      </c>
      <c r="Q42" s="160">
        <f t="shared" si="14"/>
        <v>1.06</v>
      </c>
      <c r="R42" s="160">
        <f t="shared" si="14"/>
        <v>1.1399999999999999</v>
      </c>
      <c r="S42" s="160">
        <f t="shared" si="14"/>
        <v>1.1100000000000001</v>
      </c>
      <c r="T42" s="160">
        <f t="shared" si="14"/>
        <v>1.63</v>
      </c>
      <c r="U42" s="160">
        <f t="shared" si="14"/>
        <v>1.45</v>
      </c>
      <c r="V42" s="160">
        <f t="shared" si="14"/>
        <v>1.7</v>
      </c>
      <c r="W42" s="160">
        <f t="shared" si="14"/>
        <v>0.74</v>
      </c>
      <c r="X42" s="160">
        <f t="shared" si="14"/>
        <v>0.59</v>
      </c>
      <c r="Y42" s="160">
        <f t="shared" si="14"/>
        <v>0.65</v>
      </c>
      <c r="Z42" s="160">
        <f t="shared" si="14"/>
        <v>0.43</v>
      </c>
      <c r="AA42" s="160">
        <f t="shared" si="14"/>
        <v>0.67</v>
      </c>
      <c r="AB42" s="160">
        <f t="shared" si="14"/>
        <v>0.84</v>
      </c>
      <c r="AC42" s="160">
        <f t="shared" si="14"/>
        <v>1.06</v>
      </c>
      <c r="AD42" s="160">
        <f t="shared" si="14"/>
        <v>1.1399999999999999</v>
      </c>
      <c r="AE42" s="160">
        <f t="shared" si="14"/>
        <v>1.1100000000000001</v>
      </c>
    </row>
    <row r="43" spans="2:43" x14ac:dyDescent="0.3">
      <c r="B43" s="89"/>
      <c r="C43" s="93"/>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row>
    <row r="44" spans="2:43" ht="18.600000000000001" customHeight="1" x14ac:dyDescent="0.3">
      <c r="B44" s="414" t="s">
        <v>185</v>
      </c>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row>
    <row r="45" spans="2:43" ht="15.6" x14ac:dyDescent="0.3">
      <c r="B45" s="394" t="s">
        <v>0</v>
      </c>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row>
    <row r="46" spans="2:43" ht="14.4" customHeight="1" x14ac:dyDescent="0.3">
      <c r="B46" s="132"/>
      <c r="C46" s="396" t="s">
        <v>84</v>
      </c>
      <c r="D46" s="399" t="s">
        <v>82</v>
      </c>
      <c r="E46" s="399"/>
      <c r="F46" s="399"/>
      <c r="G46" s="400"/>
      <c r="H46" s="399" t="s">
        <v>83</v>
      </c>
      <c r="I46" s="399"/>
      <c r="J46" s="399"/>
      <c r="K46" s="399"/>
      <c r="L46" s="399"/>
      <c r="M46" s="399"/>
      <c r="N46" s="399"/>
      <c r="O46" s="399"/>
      <c r="P46" s="399"/>
      <c r="Q46" s="399"/>
      <c r="R46" s="399"/>
      <c r="S46" s="400"/>
      <c r="T46" s="399" t="s">
        <v>91</v>
      </c>
      <c r="U46" s="399"/>
      <c r="V46" s="399"/>
      <c r="W46" s="399"/>
      <c r="X46" s="399"/>
      <c r="Y46" s="399"/>
      <c r="Z46" s="399"/>
      <c r="AA46" s="399"/>
      <c r="AB46" s="399"/>
      <c r="AC46" s="399"/>
      <c r="AD46" s="399"/>
      <c r="AE46" s="401"/>
      <c r="AF46" s="402" t="s">
        <v>92</v>
      </c>
      <c r="AG46" s="399"/>
      <c r="AH46" s="399"/>
      <c r="AI46" s="399"/>
      <c r="AJ46" s="399"/>
      <c r="AK46" s="399"/>
      <c r="AL46" s="399"/>
      <c r="AM46" s="399"/>
      <c r="AN46" s="399"/>
      <c r="AO46" s="399"/>
      <c r="AP46" s="399"/>
      <c r="AQ46" s="401"/>
    </row>
    <row r="47" spans="2:43" x14ac:dyDescent="0.3">
      <c r="B47" s="125" t="s">
        <v>81</v>
      </c>
      <c r="C47" s="397"/>
      <c r="D47" s="236" t="s">
        <v>39</v>
      </c>
      <c r="E47" s="168" t="s">
        <v>40</v>
      </c>
      <c r="F47" s="168" t="s">
        <v>41</v>
      </c>
      <c r="G47" s="240" t="s">
        <v>42</v>
      </c>
      <c r="H47" s="236" t="s">
        <v>24</v>
      </c>
      <c r="I47" s="168" t="s">
        <v>25</v>
      </c>
      <c r="J47" s="168" t="s">
        <v>26</v>
      </c>
      <c r="K47" s="168" t="s">
        <v>27</v>
      </c>
      <c r="L47" s="168" t="s">
        <v>17</v>
      </c>
      <c r="M47" s="168" t="s">
        <v>28</v>
      </c>
      <c r="N47" s="168" t="s">
        <v>29</v>
      </c>
      <c r="O47" s="168" t="s">
        <v>30</v>
      </c>
      <c r="P47" s="168" t="s">
        <v>31</v>
      </c>
      <c r="Q47" s="168" t="s">
        <v>32</v>
      </c>
      <c r="R47" s="168" t="s">
        <v>33</v>
      </c>
      <c r="S47" s="240" t="s">
        <v>34</v>
      </c>
      <c r="T47" s="236" t="s">
        <v>24</v>
      </c>
      <c r="U47" s="168" t="s">
        <v>25</v>
      </c>
      <c r="V47" s="168" t="s">
        <v>26</v>
      </c>
      <c r="W47" s="168" t="s">
        <v>27</v>
      </c>
      <c r="X47" s="168" t="s">
        <v>17</v>
      </c>
      <c r="Y47" s="168" t="s">
        <v>28</v>
      </c>
      <c r="Z47" s="168" t="s">
        <v>29</v>
      </c>
      <c r="AA47" s="168" t="s">
        <v>30</v>
      </c>
      <c r="AB47" s="168" t="s">
        <v>31</v>
      </c>
      <c r="AC47" s="168" t="s">
        <v>32</v>
      </c>
      <c r="AD47" s="168" t="s">
        <v>33</v>
      </c>
      <c r="AE47" s="126" t="s">
        <v>34</v>
      </c>
      <c r="AF47" s="172" t="s">
        <v>24</v>
      </c>
      <c r="AG47" s="172" t="s">
        <v>25</v>
      </c>
      <c r="AH47" s="172" t="s">
        <v>26</v>
      </c>
      <c r="AI47" s="172" t="s">
        <v>27</v>
      </c>
      <c r="AJ47" s="172" t="s">
        <v>17</v>
      </c>
      <c r="AK47" s="172" t="s">
        <v>28</v>
      </c>
      <c r="AL47" s="172" t="s">
        <v>29</v>
      </c>
      <c r="AM47" s="172" t="s">
        <v>30</v>
      </c>
      <c r="AN47" s="172" t="s">
        <v>31</v>
      </c>
      <c r="AO47" s="172" t="s">
        <v>32</v>
      </c>
      <c r="AP47" s="172" t="s">
        <v>33</v>
      </c>
      <c r="AQ47" s="126" t="s">
        <v>34</v>
      </c>
    </row>
    <row r="48" spans="2:43" x14ac:dyDescent="0.3">
      <c r="B48" s="125" t="s">
        <v>80</v>
      </c>
      <c r="C48" s="397"/>
      <c r="D48" s="238">
        <f>1/$C$11*D11*$D$20</f>
        <v>0.30821917808219179</v>
      </c>
      <c r="E48" s="124">
        <f>1/$C$11*E11*$D$20</f>
        <v>0.31164383561643838</v>
      </c>
      <c r="F48" s="124">
        <f>1/$C$11*F11*$D$20</f>
        <v>0.31506849315068497</v>
      </c>
      <c r="G48" s="241">
        <f>1/$C$11*G11*$D$20</f>
        <v>0.31506849315068497</v>
      </c>
      <c r="H48" s="238">
        <f t="shared" ref="H48:S48" si="15">1/$C$11*H11*$E$20</f>
        <v>0.12739726027397261</v>
      </c>
      <c r="I48" s="124">
        <f t="shared" si="15"/>
        <v>0.11506849315068493</v>
      </c>
      <c r="J48" s="124">
        <f t="shared" si="15"/>
        <v>0.12739726027397261</v>
      </c>
      <c r="K48" s="124">
        <f t="shared" si="15"/>
        <v>0.12328767123287671</v>
      </c>
      <c r="L48" s="124">
        <f t="shared" si="15"/>
        <v>0.12739726027397261</v>
      </c>
      <c r="M48" s="124">
        <f t="shared" si="15"/>
        <v>0.12328767123287671</v>
      </c>
      <c r="N48" s="124">
        <f t="shared" si="15"/>
        <v>0.12739726027397261</v>
      </c>
      <c r="O48" s="124">
        <f t="shared" si="15"/>
        <v>0.12739726027397261</v>
      </c>
      <c r="P48" s="124">
        <f t="shared" si="15"/>
        <v>0.12328767123287671</v>
      </c>
      <c r="Q48" s="124">
        <f t="shared" si="15"/>
        <v>0.12739726027397261</v>
      </c>
      <c r="R48" s="124">
        <f t="shared" si="15"/>
        <v>0.12328767123287671</v>
      </c>
      <c r="S48" s="241">
        <f t="shared" si="15"/>
        <v>0.12739726027397261</v>
      </c>
      <c r="T48" s="238">
        <f t="shared" ref="T48:AE48" si="16">1/$C$11*$F$20</f>
        <v>6.1643835616438354E-3</v>
      </c>
      <c r="U48" s="124">
        <f t="shared" si="16"/>
        <v>6.1643835616438354E-3</v>
      </c>
      <c r="V48" s="124">
        <f t="shared" si="16"/>
        <v>6.1643835616438354E-3</v>
      </c>
      <c r="W48" s="124">
        <f t="shared" si="16"/>
        <v>6.1643835616438354E-3</v>
      </c>
      <c r="X48" s="124">
        <f t="shared" si="16"/>
        <v>6.1643835616438354E-3</v>
      </c>
      <c r="Y48" s="124">
        <f t="shared" si="16"/>
        <v>6.1643835616438354E-3</v>
      </c>
      <c r="Z48" s="124">
        <f t="shared" si="16"/>
        <v>6.1643835616438354E-3</v>
      </c>
      <c r="AA48" s="124">
        <f t="shared" si="16"/>
        <v>6.1643835616438354E-3</v>
      </c>
      <c r="AB48" s="124">
        <f t="shared" si="16"/>
        <v>6.1643835616438354E-3</v>
      </c>
      <c r="AC48" s="124">
        <f t="shared" si="16"/>
        <v>6.1643835616438354E-3</v>
      </c>
      <c r="AD48" s="124">
        <f t="shared" si="16"/>
        <v>6.1643835616438354E-3</v>
      </c>
      <c r="AE48" s="127">
        <f t="shared" si="16"/>
        <v>6.1643835616438354E-3</v>
      </c>
      <c r="AF48" s="124">
        <f>T48</f>
        <v>6.1643835616438354E-3</v>
      </c>
      <c r="AG48" s="124">
        <f t="shared" ref="AG48:AQ50" si="17">U48</f>
        <v>6.1643835616438354E-3</v>
      </c>
      <c r="AH48" s="124">
        <f t="shared" si="17"/>
        <v>6.1643835616438354E-3</v>
      </c>
      <c r="AI48" s="124">
        <f t="shared" si="17"/>
        <v>6.1643835616438354E-3</v>
      </c>
      <c r="AJ48" s="124">
        <f t="shared" si="17"/>
        <v>6.1643835616438354E-3</v>
      </c>
      <c r="AK48" s="124">
        <f t="shared" si="17"/>
        <v>6.1643835616438354E-3</v>
      </c>
      <c r="AL48" s="124">
        <f t="shared" si="17"/>
        <v>6.1643835616438354E-3</v>
      </c>
      <c r="AM48" s="124">
        <f t="shared" si="17"/>
        <v>6.1643835616438354E-3</v>
      </c>
      <c r="AN48" s="124">
        <f t="shared" si="17"/>
        <v>6.1643835616438354E-3</v>
      </c>
      <c r="AO48" s="124">
        <f t="shared" si="17"/>
        <v>6.1643835616438354E-3</v>
      </c>
      <c r="AP48" s="124">
        <f t="shared" si="17"/>
        <v>6.1643835616438354E-3</v>
      </c>
      <c r="AQ48" s="127">
        <f t="shared" si="17"/>
        <v>6.1643835616438354E-3</v>
      </c>
    </row>
    <row r="49" spans="2:43" x14ac:dyDescent="0.3">
      <c r="B49" s="125" t="s">
        <v>96</v>
      </c>
      <c r="C49" s="397"/>
      <c r="D49" s="238">
        <f>1/$C$11*D11*$H$20</f>
        <v>0.30821917808219179</v>
      </c>
      <c r="E49" s="124">
        <f>1/$C$11*E11*$H$20</f>
        <v>0.31164383561643838</v>
      </c>
      <c r="F49" s="124">
        <f>1/$C$11*F11*$H$20</f>
        <v>0.31506849315068497</v>
      </c>
      <c r="G49" s="241">
        <f>1/$C$11*G11*$H$20</f>
        <v>0.31506849315068497</v>
      </c>
      <c r="H49" s="238">
        <f t="shared" ref="H49:S49" si="18">1/$C$11*H11*$I$20</f>
        <v>0.11890410958904109</v>
      </c>
      <c r="I49" s="124">
        <f t="shared" si="18"/>
        <v>0.1073972602739726</v>
      </c>
      <c r="J49" s="124">
        <f t="shared" si="18"/>
        <v>0.11890410958904109</v>
      </c>
      <c r="K49" s="124">
        <f t="shared" si="18"/>
        <v>0.11506849315068492</v>
      </c>
      <c r="L49" s="124">
        <f t="shared" si="18"/>
        <v>0.11890410958904109</v>
      </c>
      <c r="M49" s="124">
        <f t="shared" si="18"/>
        <v>0.11506849315068492</v>
      </c>
      <c r="N49" s="124">
        <f t="shared" si="18"/>
        <v>0.11890410958904109</v>
      </c>
      <c r="O49" s="124">
        <f t="shared" si="18"/>
        <v>0.11890410958904109</v>
      </c>
      <c r="P49" s="124">
        <f t="shared" si="18"/>
        <v>0.11506849315068492</v>
      </c>
      <c r="Q49" s="124">
        <f t="shared" si="18"/>
        <v>0.11890410958904109</v>
      </c>
      <c r="R49" s="124">
        <f t="shared" si="18"/>
        <v>0.11506849315068492</v>
      </c>
      <c r="S49" s="241">
        <f t="shared" si="18"/>
        <v>0.11890410958904109</v>
      </c>
      <c r="T49" s="238">
        <f t="shared" ref="T49:AE49" si="19">1/$C$11*$J$20</f>
        <v>4.1095890410958909E-3</v>
      </c>
      <c r="U49" s="124">
        <f t="shared" si="19"/>
        <v>4.1095890410958909E-3</v>
      </c>
      <c r="V49" s="124">
        <f t="shared" si="19"/>
        <v>4.1095890410958909E-3</v>
      </c>
      <c r="W49" s="124">
        <f t="shared" si="19"/>
        <v>4.1095890410958909E-3</v>
      </c>
      <c r="X49" s="124">
        <f t="shared" si="19"/>
        <v>4.1095890410958909E-3</v>
      </c>
      <c r="Y49" s="124">
        <f t="shared" si="19"/>
        <v>4.1095890410958909E-3</v>
      </c>
      <c r="Z49" s="124">
        <f t="shared" si="19"/>
        <v>4.1095890410958909E-3</v>
      </c>
      <c r="AA49" s="124">
        <f t="shared" si="19"/>
        <v>4.1095890410958909E-3</v>
      </c>
      <c r="AB49" s="124">
        <f t="shared" si="19"/>
        <v>4.1095890410958909E-3</v>
      </c>
      <c r="AC49" s="124">
        <f t="shared" si="19"/>
        <v>4.1095890410958909E-3</v>
      </c>
      <c r="AD49" s="124">
        <f t="shared" si="19"/>
        <v>4.1095890410958909E-3</v>
      </c>
      <c r="AE49" s="127">
        <f t="shared" si="19"/>
        <v>4.1095890410958909E-3</v>
      </c>
      <c r="AF49" s="124">
        <f t="shared" ref="AF49:AF52" si="20">T49</f>
        <v>4.1095890410958909E-3</v>
      </c>
      <c r="AG49" s="124">
        <f t="shared" si="17"/>
        <v>4.1095890410958909E-3</v>
      </c>
      <c r="AH49" s="124">
        <f t="shared" si="17"/>
        <v>4.1095890410958909E-3</v>
      </c>
      <c r="AI49" s="124">
        <f t="shared" si="17"/>
        <v>4.1095890410958909E-3</v>
      </c>
      <c r="AJ49" s="124">
        <f t="shared" si="17"/>
        <v>4.1095890410958909E-3</v>
      </c>
      <c r="AK49" s="124">
        <f t="shared" si="17"/>
        <v>4.1095890410958909E-3</v>
      </c>
      <c r="AL49" s="124">
        <f t="shared" si="17"/>
        <v>4.1095890410958909E-3</v>
      </c>
      <c r="AM49" s="124">
        <f t="shared" si="17"/>
        <v>4.1095890410958909E-3</v>
      </c>
      <c r="AN49" s="124">
        <f t="shared" si="17"/>
        <v>4.1095890410958909E-3</v>
      </c>
      <c r="AO49" s="124">
        <f t="shared" si="17"/>
        <v>4.1095890410958909E-3</v>
      </c>
      <c r="AP49" s="124">
        <f t="shared" si="17"/>
        <v>4.1095890410958909E-3</v>
      </c>
      <c r="AQ49" s="127">
        <f t="shared" si="17"/>
        <v>4.1095890410958909E-3</v>
      </c>
    </row>
    <row r="50" spans="2:43" x14ac:dyDescent="0.3">
      <c r="B50" s="125" t="s">
        <v>97</v>
      </c>
      <c r="C50" s="397"/>
      <c r="D50" s="238">
        <f>1/$C$11*D11*$L$20*D38</f>
        <v>0.94999999999999984</v>
      </c>
      <c r="E50" s="124">
        <f>1/$C$11*E11*$L$20*E38</f>
        <v>0.35000000000000003</v>
      </c>
      <c r="F50" s="124">
        <f>1/$C$11*F11*$L$20*F38</f>
        <v>0.3</v>
      </c>
      <c r="G50" s="241">
        <f>1/$C$11*G11*$L$20*G38</f>
        <v>0.6</v>
      </c>
      <c r="H50" s="238">
        <f t="shared" ref="H50:S50" si="21">1/$C$11*H11*$M$20*H38</f>
        <v>0.34999999999999992</v>
      </c>
      <c r="I50" s="124">
        <f t="shared" si="21"/>
        <v>0.34999999999999992</v>
      </c>
      <c r="J50" s="124">
        <f t="shared" si="21"/>
        <v>0.24999999999999997</v>
      </c>
      <c r="K50" s="124">
        <f t="shared" si="21"/>
        <v>0.2</v>
      </c>
      <c r="L50" s="124">
        <f t="shared" si="21"/>
        <v>0.12999999999999998</v>
      </c>
      <c r="M50" s="124">
        <f t="shared" si="21"/>
        <v>0.13</v>
      </c>
      <c r="N50" s="124">
        <f t="shared" si="21"/>
        <v>0.12999999999999998</v>
      </c>
      <c r="O50" s="124">
        <f t="shared" si="21"/>
        <v>0.12999999999999998</v>
      </c>
      <c r="P50" s="124">
        <f t="shared" si="21"/>
        <v>0.13</v>
      </c>
      <c r="Q50" s="124">
        <f t="shared" si="21"/>
        <v>0.20000000000000004</v>
      </c>
      <c r="R50" s="124">
        <f t="shared" si="21"/>
        <v>0.2</v>
      </c>
      <c r="S50" s="241">
        <f t="shared" si="21"/>
        <v>0.34999999999999992</v>
      </c>
      <c r="T50" s="238">
        <f t="shared" ref="T50:AE50" si="22">1/$C$11*$N$20*T38</f>
        <v>1.7499999999999995E-2</v>
      </c>
      <c r="U50" s="124">
        <f t="shared" si="22"/>
        <v>1.7499999999999995E-2</v>
      </c>
      <c r="V50" s="124">
        <f t="shared" si="22"/>
        <v>1.2499999999999999E-2</v>
      </c>
      <c r="W50" s="124">
        <f t="shared" si="22"/>
        <v>9.9999999999999985E-3</v>
      </c>
      <c r="X50" s="124">
        <f t="shared" si="22"/>
        <v>6.4999999999999988E-3</v>
      </c>
      <c r="Y50" s="124">
        <f t="shared" si="22"/>
        <v>6.4999999999999988E-3</v>
      </c>
      <c r="Z50" s="124">
        <f t="shared" si="22"/>
        <v>6.4999999999999988E-3</v>
      </c>
      <c r="AA50" s="124">
        <f t="shared" si="22"/>
        <v>6.4999999999999988E-3</v>
      </c>
      <c r="AB50" s="124">
        <f t="shared" si="22"/>
        <v>6.4999999999999988E-3</v>
      </c>
      <c r="AC50" s="124">
        <f t="shared" si="22"/>
        <v>9.9999999999999985E-3</v>
      </c>
      <c r="AD50" s="124">
        <f t="shared" si="22"/>
        <v>9.9999999999999985E-3</v>
      </c>
      <c r="AE50" s="127">
        <f t="shared" si="22"/>
        <v>1.7499999999999995E-2</v>
      </c>
      <c r="AF50" s="124">
        <f t="shared" si="20"/>
        <v>1.7499999999999995E-2</v>
      </c>
      <c r="AG50" s="124">
        <f t="shared" si="17"/>
        <v>1.7499999999999995E-2</v>
      </c>
      <c r="AH50" s="124">
        <f t="shared" si="17"/>
        <v>1.2499999999999999E-2</v>
      </c>
      <c r="AI50" s="124">
        <f t="shared" si="17"/>
        <v>9.9999999999999985E-3</v>
      </c>
      <c r="AJ50" s="124">
        <f t="shared" si="17"/>
        <v>6.4999999999999988E-3</v>
      </c>
      <c r="AK50" s="124">
        <f t="shared" si="17"/>
        <v>6.4999999999999988E-3</v>
      </c>
      <c r="AL50" s="124">
        <f t="shared" si="17"/>
        <v>6.4999999999999988E-3</v>
      </c>
      <c r="AM50" s="124">
        <f t="shared" si="17"/>
        <v>6.4999999999999988E-3</v>
      </c>
      <c r="AN50" s="124">
        <f t="shared" si="17"/>
        <v>6.4999999999999988E-3</v>
      </c>
      <c r="AO50" s="124">
        <f t="shared" si="17"/>
        <v>9.9999999999999985E-3</v>
      </c>
      <c r="AP50" s="124">
        <f t="shared" si="17"/>
        <v>9.9999999999999985E-3</v>
      </c>
      <c r="AQ50" s="127">
        <f t="shared" si="17"/>
        <v>1.7499999999999995E-2</v>
      </c>
    </row>
    <row r="51" spans="2:43" x14ac:dyDescent="0.3">
      <c r="B51" s="340" t="s">
        <v>174</v>
      </c>
      <c r="C51" s="397"/>
      <c r="D51" s="238" t="s">
        <v>10</v>
      </c>
      <c r="E51" s="124" t="s">
        <v>10</v>
      </c>
      <c r="F51" s="124" t="s">
        <v>10</v>
      </c>
      <c r="G51" s="241" t="s">
        <v>10</v>
      </c>
      <c r="H51" s="238" t="s">
        <v>10</v>
      </c>
      <c r="I51" s="124" t="s">
        <v>10</v>
      </c>
      <c r="J51" s="124" t="s">
        <v>10</v>
      </c>
      <c r="K51" s="124" t="s">
        <v>10</v>
      </c>
      <c r="L51" s="124" t="s">
        <v>10</v>
      </c>
      <c r="M51" s="124" t="s">
        <v>10</v>
      </c>
      <c r="N51" s="124" t="s">
        <v>10</v>
      </c>
      <c r="O51" s="124" t="s">
        <v>10</v>
      </c>
      <c r="P51" s="124" t="s">
        <v>10</v>
      </c>
      <c r="Q51" s="124" t="s">
        <v>10</v>
      </c>
      <c r="R51" s="124" t="s">
        <v>10</v>
      </c>
      <c r="S51" s="241" t="s">
        <v>10</v>
      </c>
      <c r="T51" s="238" t="s">
        <v>10</v>
      </c>
      <c r="U51" s="124" t="s">
        <v>10</v>
      </c>
      <c r="V51" s="124" t="s">
        <v>10</v>
      </c>
      <c r="W51" s="124" t="s">
        <v>10</v>
      </c>
      <c r="X51" s="124" t="s">
        <v>10</v>
      </c>
      <c r="Y51" s="124" t="s">
        <v>10</v>
      </c>
      <c r="Z51" s="124" t="s">
        <v>10</v>
      </c>
      <c r="AA51" s="124" t="s">
        <v>10</v>
      </c>
      <c r="AB51" s="124" t="s">
        <v>10</v>
      </c>
      <c r="AC51" s="124" t="s">
        <v>10</v>
      </c>
      <c r="AD51" s="124" t="s">
        <v>10</v>
      </c>
      <c r="AE51" s="127" t="s">
        <v>10</v>
      </c>
      <c r="AF51" s="124" t="s">
        <v>10</v>
      </c>
      <c r="AG51" s="124" t="s">
        <v>10</v>
      </c>
      <c r="AH51" s="124" t="s">
        <v>10</v>
      </c>
      <c r="AI51" s="124" t="s">
        <v>10</v>
      </c>
      <c r="AJ51" s="124" t="s">
        <v>10</v>
      </c>
      <c r="AK51" s="124" t="s">
        <v>10</v>
      </c>
      <c r="AL51" s="124" t="s">
        <v>10</v>
      </c>
      <c r="AM51" s="124" t="s">
        <v>10</v>
      </c>
      <c r="AN51" s="124" t="s">
        <v>10</v>
      </c>
      <c r="AO51" s="124" t="s">
        <v>10</v>
      </c>
      <c r="AP51" s="124" t="s">
        <v>10</v>
      </c>
      <c r="AQ51" s="127" t="s">
        <v>10</v>
      </c>
    </row>
    <row r="52" spans="2:43" x14ac:dyDescent="0.3">
      <c r="B52" s="125" t="s">
        <v>11</v>
      </c>
      <c r="C52" s="398"/>
      <c r="D52" s="238">
        <f>1/$C$11*D11*$L$20*D30</f>
        <v>0.94999999999999984</v>
      </c>
      <c r="E52" s="124">
        <f>1/$C$11*E11*$L$20*E30</f>
        <v>0.35000000000000003</v>
      </c>
      <c r="F52" s="124">
        <f>1/$C$11*F11*$L$20*F30</f>
        <v>0.3</v>
      </c>
      <c r="G52" s="241">
        <f>1/$C$11*G11*$L$20*G30</f>
        <v>0.6</v>
      </c>
      <c r="H52" s="238">
        <f t="shared" ref="H52:S52" si="23">1/$C$11*H11*$M$20*H30</f>
        <v>0.34999999999999992</v>
      </c>
      <c r="I52" s="124">
        <f t="shared" si="23"/>
        <v>0.34999999999999992</v>
      </c>
      <c r="J52" s="124">
        <f t="shared" si="23"/>
        <v>0.24999999999999997</v>
      </c>
      <c r="K52" s="124">
        <f t="shared" si="23"/>
        <v>0.2</v>
      </c>
      <c r="L52" s="124">
        <f t="shared" si="23"/>
        <v>0.12999999999999998</v>
      </c>
      <c r="M52" s="124">
        <f t="shared" si="23"/>
        <v>0.13</v>
      </c>
      <c r="N52" s="124">
        <f t="shared" si="23"/>
        <v>0.12999999999999998</v>
      </c>
      <c r="O52" s="124">
        <f t="shared" si="23"/>
        <v>0.12999999999999998</v>
      </c>
      <c r="P52" s="124">
        <f t="shared" si="23"/>
        <v>0.13</v>
      </c>
      <c r="Q52" s="124">
        <f t="shared" si="23"/>
        <v>0.20000000000000004</v>
      </c>
      <c r="R52" s="124">
        <f t="shared" si="23"/>
        <v>0.2</v>
      </c>
      <c r="S52" s="241">
        <f t="shared" si="23"/>
        <v>0.34999999999999992</v>
      </c>
      <c r="T52" s="238">
        <f t="shared" ref="T52:AE52" si="24">1/$C$11*$N$20*T30</f>
        <v>1.7499999999999995E-2</v>
      </c>
      <c r="U52" s="124">
        <f t="shared" si="24"/>
        <v>1.7499999999999995E-2</v>
      </c>
      <c r="V52" s="124">
        <f t="shared" si="24"/>
        <v>1.2499999999999999E-2</v>
      </c>
      <c r="W52" s="124">
        <f t="shared" si="24"/>
        <v>9.9999999999999985E-3</v>
      </c>
      <c r="X52" s="124">
        <f t="shared" si="24"/>
        <v>6.4999999999999988E-3</v>
      </c>
      <c r="Y52" s="124">
        <f t="shared" si="24"/>
        <v>6.4999999999999988E-3</v>
      </c>
      <c r="Z52" s="124">
        <f t="shared" si="24"/>
        <v>6.4999999999999988E-3</v>
      </c>
      <c r="AA52" s="124">
        <f t="shared" si="24"/>
        <v>6.4999999999999988E-3</v>
      </c>
      <c r="AB52" s="124">
        <f t="shared" si="24"/>
        <v>6.4999999999999988E-3</v>
      </c>
      <c r="AC52" s="124">
        <f>1/$C$11*$N$20*AC30</f>
        <v>9.9999999999999985E-3</v>
      </c>
      <c r="AD52" s="124">
        <f t="shared" si="24"/>
        <v>9.9999999999999985E-3</v>
      </c>
      <c r="AE52" s="127">
        <f t="shared" si="24"/>
        <v>1.7499999999999995E-2</v>
      </c>
      <c r="AF52" s="124">
        <f t="shared" si="20"/>
        <v>1.7499999999999995E-2</v>
      </c>
      <c r="AG52" s="124">
        <f t="shared" ref="AG52" si="25">U52</f>
        <v>1.7499999999999995E-2</v>
      </c>
      <c r="AH52" s="124">
        <f t="shared" ref="AH52" si="26">V52</f>
        <v>1.2499999999999999E-2</v>
      </c>
      <c r="AI52" s="124">
        <f t="shared" ref="AI52" si="27">W52</f>
        <v>9.9999999999999985E-3</v>
      </c>
      <c r="AJ52" s="124">
        <f t="shared" ref="AJ52" si="28">X52</f>
        <v>6.4999999999999988E-3</v>
      </c>
      <c r="AK52" s="124">
        <f t="shared" ref="AK52" si="29">Y52</f>
        <v>6.4999999999999988E-3</v>
      </c>
      <c r="AL52" s="124">
        <f t="shared" ref="AL52" si="30">Z52</f>
        <v>6.4999999999999988E-3</v>
      </c>
      <c r="AM52" s="124">
        <f t="shared" ref="AM52" si="31">AA52</f>
        <v>6.4999999999999988E-3</v>
      </c>
      <c r="AN52" s="124">
        <f t="shared" ref="AN52" si="32">AB52</f>
        <v>6.4999999999999988E-3</v>
      </c>
      <c r="AO52" s="124">
        <f t="shared" ref="AO52" si="33">AC52</f>
        <v>9.9999999999999985E-3</v>
      </c>
      <c r="AP52" s="124">
        <f t="shared" ref="AP52" si="34">AD52</f>
        <v>9.9999999999999985E-3</v>
      </c>
      <c r="AQ52" s="127">
        <f>AE52</f>
        <v>1.7499999999999995E-2</v>
      </c>
    </row>
    <row r="53" spans="2:43" x14ac:dyDescent="0.3">
      <c r="B53" s="128" t="s">
        <v>93</v>
      </c>
      <c r="C53" s="247">
        <f>'Tariffs_ref. prices until 2023'!E96</f>
        <v>43.460027860471023</v>
      </c>
      <c r="D53" s="239">
        <f t="shared" ref="D53:AQ53" si="35">$C$53*D48</f>
        <v>13.395214066583534</v>
      </c>
      <c r="E53" s="104">
        <f t="shared" si="35"/>
        <v>13.544049778434463</v>
      </c>
      <c r="F53" s="104">
        <f t="shared" si="35"/>
        <v>13.692885490285393</v>
      </c>
      <c r="G53" s="242">
        <f t="shared" si="35"/>
        <v>13.692885490285393</v>
      </c>
      <c r="H53" s="239">
        <f t="shared" si="35"/>
        <v>5.5366884808545276</v>
      </c>
      <c r="I53" s="104">
        <f t="shared" si="35"/>
        <v>5.0008799181911865</v>
      </c>
      <c r="J53" s="104">
        <f t="shared" si="35"/>
        <v>5.5366884808545276</v>
      </c>
      <c r="K53" s="104">
        <f t="shared" si="35"/>
        <v>5.3580856266334136</v>
      </c>
      <c r="L53" s="104">
        <f t="shared" si="35"/>
        <v>5.5366884808545276</v>
      </c>
      <c r="M53" s="104">
        <f t="shared" si="35"/>
        <v>5.3580856266334136</v>
      </c>
      <c r="N53" s="104">
        <f t="shared" si="35"/>
        <v>5.5366884808545276</v>
      </c>
      <c r="O53" s="104">
        <f t="shared" si="35"/>
        <v>5.5366884808545276</v>
      </c>
      <c r="P53" s="104">
        <f t="shared" si="35"/>
        <v>5.3580856266334136</v>
      </c>
      <c r="Q53" s="104">
        <f t="shared" si="35"/>
        <v>5.5366884808545276</v>
      </c>
      <c r="R53" s="104">
        <f t="shared" si="35"/>
        <v>5.3580856266334136</v>
      </c>
      <c r="S53" s="242">
        <f t="shared" si="35"/>
        <v>5.5366884808545276</v>
      </c>
      <c r="T53" s="239">
        <f t="shared" si="35"/>
        <v>0.26790428133167066</v>
      </c>
      <c r="U53" s="104">
        <f t="shared" si="35"/>
        <v>0.26790428133167066</v>
      </c>
      <c r="V53" s="104">
        <f t="shared" si="35"/>
        <v>0.26790428133167066</v>
      </c>
      <c r="W53" s="104">
        <f t="shared" si="35"/>
        <v>0.26790428133167066</v>
      </c>
      <c r="X53" s="104">
        <f t="shared" si="35"/>
        <v>0.26790428133167066</v>
      </c>
      <c r="Y53" s="104">
        <f t="shared" si="35"/>
        <v>0.26790428133167066</v>
      </c>
      <c r="Z53" s="104">
        <f t="shared" si="35"/>
        <v>0.26790428133167066</v>
      </c>
      <c r="AA53" s="104">
        <f t="shared" si="35"/>
        <v>0.26790428133167066</v>
      </c>
      <c r="AB53" s="104">
        <f t="shared" si="35"/>
        <v>0.26790428133167066</v>
      </c>
      <c r="AC53" s="104">
        <f t="shared" si="35"/>
        <v>0.26790428133167066</v>
      </c>
      <c r="AD53" s="104">
        <f t="shared" si="35"/>
        <v>0.26790428133167066</v>
      </c>
      <c r="AE53" s="129">
        <f t="shared" si="35"/>
        <v>0.26790428133167066</v>
      </c>
      <c r="AF53" s="104">
        <f t="shared" si="35"/>
        <v>0.26790428133167066</v>
      </c>
      <c r="AG53" s="104">
        <f t="shared" si="35"/>
        <v>0.26790428133167066</v>
      </c>
      <c r="AH53" s="104">
        <f t="shared" si="35"/>
        <v>0.26790428133167066</v>
      </c>
      <c r="AI53" s="104">
        <f t="shared" si="35"/>
        <v>0.26790428133167066</v>
      </c>
      <c r="AJ53" s="104">
        <f t="shared" si="35"/>
        <v>0.26790428133167066</v>
      </c>
      <c r="AK53" s="104">
        <f t="shared" si="35"/>
        <v>0.26790428133167066</v>
      </c>
      <c r="AL53" s="104">
        <f t="shared" si="35"/>
        <v>0.26790428133167066</v>
      </c>
      <c r="AM53" s="104">
        <f t="shared" si="35"/>
        <v>0.26790428133167066</v>
      </c>
      <c r="AN53" s="104">
        <f t="shared" si="35"/>
        <v>0.26790428133167066</v>
      </c>
      <c r="AO53" s="104">
        <f t="shared" si="35"/>
        <v>0.26790428133167066</v>
      </c>
      <c r="AP53" s="104">
        <f t="shared" si="35"/>
        <v>0.26790428133167066</v>
      </c>
      <c r="AQ53" s="129">
        <f t="shared" si="35"/>
        <v>0.26790428133167066</v>
      </c>
    </row>
    <row r="54" spans="2:43" x14ac:dyDescent="0.3">
      <c r="B54" s="128" t="s">
        <v>138</v>
      </c>
      <c r="C54" s="247" t="str">
        <f>'Tariffs_ref. prices until 2023'!E97</f>
        <v>-</v>
      </c>
      <c r="D54" s="239" t="s">
        <v>10</v>
      </c>
      <c r="E54" s="104" t="s">
        <v>10</v>
      </c>
      <c r="F54" s="104" t="s">
        <v>10</v>
      </c>
      <c r="G54" s="242" t="s">
        <v>10</v>
      </c>
      <c r="H54" s="239" t="s">
        <v>10</v>
      </c>
      <c r="I54" s="104" t="s">
        <v>10</v>
      </c>
      <c r="J54" s="104" t="s">
        <v>10</v>
      </c>
      <c r="K54" s="104" t="s">
        <v>10</v>
      </c>
      <c r="L54" s="104" t="s">
        <v>10</v>
      </c>
      <c r="M54" s="104" t="s">
        <v>10</v>
      </c>
      <c r="N54" s="104" t="s">
        <v>10</v>
      </c>
      <c r="O54" s="104" t="s">
        <v>10</v>
      </c>
      <c r="P54" s="104" t="s">
        <v>10</v>
      </c>
      <c r="Q54" s="104" t="s">
        <v>10</v>
      </c>
      <c r="R54" s="104" t="s">
        <v>10</v>
      </c>
      <c r="S54" s="242" t="s">
        <v>10</v>
      </c>
      <c r="T54" s="239" t="s">
        <v>10</v>
      </c>
      <c r="U54" s="104" t="s">
        <v>10</v>
      </c>
      <c r="V54" s="104" t="s">
        <v>10</v>
      </c>
      <c r="W54" s="104" t="s">
        <v>10</v>
      </c>
      <c r="X54" s="104" t="s">
        <v>10</v>
      </c>
      <c r="Y54" s="104" t="s">
        <v>10</v>
      </c>
      <c r="Z54" s="104" t="s">
        <v>10</v>
      </c>
      <c r="AA54" s="104" t="s">
        <v>10</v>
      </c>
      <c r="AB54" s="104" t="s">
        <v>10</v>
      </c>
      <c r="AC54" s="104" t="s">
        <v>10</v>
      </c>
      <c r="AD54" s="104" t="s">
        <v>10</v>
      </c>
      <c r="AE54" s="129" t="s">
        <v>10</v>
      </c>
      <c r="AF54" s="104" t="s">
        <v>10</v>
      </c>
      <c r="AG54" s="104" t="s">
        <v>10</v>
      </c>
      <c r="AH54" s="104" t="s">
        <v>10</v>
      </c>
      <c r="AI54" s="104" t="s">
        <v>10</v>
      </c>
      <c r="AJ54" s="104" t="s">
        <v>10</v>
      </c>
      <c r="AK54" s="104" t="s">
        <v>10</v>
      </c>
      <c r="AL54" s="104" t="s">
        <v>10</v>
      </c>
      <c r="AM54" s="104" t="s">
        <v>10</v>
      </c>
      <c r="AN54" s="104" t="s">
        <v>10</v>
      </c>
      <c r="AO54" s="104" t="s">
        <v>10</v>
      </c>
      <c r="AP54" s="104" t="s">
        <v>10</v>
      </c>
      <c r="AQ54" s="129" t="s">
        <v>10</v>
      </c>
    </row>
    <row r="55" spans="2:43" x14ac:dyDescent="0.3">
      <c r="B55" s="128" t="s">
        <v>94</v>
      </c>
      <c r="C55" s="247">
        <f>'Tariffs_ref. prices until 2023'!E98</f>
        <v>43.460027860471023</v>
      </c>
      <c r="D55" s="239">
        <f t="shared" ref="D55:AQ55" si="36">$C$55*D48</f>
        <v>13.395214066583534</v>
      </c>
      <c r="E55" s="104">
        <f t="shared" si="36"/>
        <v>13.544049778434463</v>
      </c>
      <c r="F55" s="104">
        <f t="shared" si="36"/>
        <v>13.692885490285393</v>
      </c>
      <c r="G55" s="242">
        <f t="shared" si="36"/>
        <v>13.692885490285393</v>
      </c>
      <c r="H55" s="239">
        <f t="shared" si="36"/>
        <v>5.5366884808545276</v>
      </c>
      <c r="I55" s="104">
        <f t="shared" si="36"/>
        <v>5.0008799181911865</v>
      </c>
      <c r="J55" s="104">
        <f t="shared" si="36"/>
        <v>5.5366884808545276</v>
      </c>
      <c r="K55" s="104">
        <f t="shared" si="36"/>
        <v>5.3580856266334136</v>
      </c>
      <c r="L55" s="104">
        <f t="shared" si="36"/>
        <v>5.5366884808545276</v>
      </c>
      <c r="M55" s="104">
        <f t="shared" si="36"/>
        <v>5.3580856266334136</v>
      </c>
      <c r="N55" s="104">
        <f t="shared" si="36"/>
        <v>5.5366884808545276</v>
      </c>
      <c r="O55" s="104">
        <f t="shared" si="36"/>
        <v>5.5366884808545276</v>
      </c>
      <c r="P55" s="104">
        <f t="shared" si="36"/>
        <v>5.3580856266334136</v>
      </c>
      <c r="Q55" s="104">
        <f t="shared" si="36"/>
        <v>5.5366884808545276</v>
      </c>
      <c r="R55" s="104">
        <f t="shared" si="36"/>
        <v>5.3580856266334136</v>
      </c>
      <c r="S55" s="242">
        <f t="shared" si="36"/>
        <v>5.5366884808545276</v>
      </c>
      <c r="T55" s="239">
        <f t="shared" si="36"/>
        <v>0.26790428133167066</v>
      </c>
      <c r="U55" s="104">
        <f t="shared" si="36"/>
        <v>0.26790428133167066</v>
      </c>
      <c r="V55" s="104">
        <f t="shared" si="36"/>
        <v>0.26790428133167066</v>
      </c>
      <c r="W55" s="104">
        <f t="shared" si="36"/>
        <v>0.26790428133167066</v>
      </c>
      <c r="X55" s="104">
        <f t="shared" si="36"/>
        <v>0.26790428133167066</v>
      </c>
      <c r="Y55" s="104">
        <f t="shared" si="36"/>
        <v>0.26790428133167066</v>
      </c>
      <c r="Z55" s="104">
        <f t="shared" si="36"/>
        <v>0.26790428133167066</v>
      </c>
      <c r="AA55" s="104">
        <f t="shared" si="36"/>
        <v>0.26790428133167066</v>
      </c>
      <c r="AB55" s="104">
        <f t="shared" si="36"/>
        <v>0.26790428133167066</v>
      </c>
      <c r="AC55" s="104">
        <f t="shared" si="36"/>
        <v>0.26790428133167066</v>
      </c>
      <c r="AD55" s="104">
        <f t="shared" si="36"/>
        <v>0.26790428133167066</v>
      </c>
      <c r="AE55" s="129">
        <f t="shared" si="36"/>
        <v>0.26790428133167066</v>
      </c>
      <c r="AF55" s="104">
        <f t="shared" si="36"/>
        <v>0.26790428133167066</v>
      </c>
      <c r="AG55" s="104">
        <f t="shared" si="36"/>
        <v>0.26790428133167066</v>
      </c>
      <c r="AH55" s="104">
        <f t="shared" si="36"/>
        <v>0.26790428133167066</v>
      </c>
      <c r="AI55" s="104">
        <f t="shared" si="36"/>
        <v>0.26790428133167066</v>
      </c>
      <c r="AJ55" s="104">
        <f t="shared" si="36"/>
        <v>0.26790428133167066</v>
      </c>
      <c r="AK55" s="104">
        <f t="shared" si="36"/>
        <v>0.26790428133167066</v>
      </c>
      <c r="AL55" s="104">
        <f t="shared" si="36"/>
        <v>0.26790428133167066</v>
      </c>
      <c r="AM55" s="104">
        <f t="shared" si="36"/>
        <v>0.26790428133167066</v>
      </c>
      <c r="AN55" s="104">
        <f t="shared" si="36"/>
        <v>0.26790428133167066</v>
      </c>
      <c r="AO55" s="104">
        <f t="shared" si="36"/>
        <v>0.26790428133167066</v>
      </c>
      <c r="AP55" s="104">
        <f t="shared" si="36"/>
        <v>0.26790428133167066</v>
      </c>
      <c r="AQ55" s="129">
        <f t="shared" si="36"/>
        <v>0.26790428133167066</v>
      </c>
    </row>
    <row r="56" spans="2:43" x14ac:dyDescent="0.3">
      <c r="B56" s="128" t="s">
        <v>95</v>
      </c>
      <c r="C56" s="247">
        <f>'Tariffs_ref. prices until 2023'!E99</f>
        <v>9.5590039696860352</v>
      </c>
      <c r="D56" s="239">
        <f t="shared" ref="D56:AQ56" si="37">$C$56*D48</f>
        <v>2.9462683468210384</v>
      </c>
      <c r="E56" s="104">
        <f t="shared" si="37"/>
        <v>2.9790046617857167</v>
      </c>
      <c r="F56" s="104">
        <f t="shared" si="37"/>
        <v>3.0117409767503949</v>
      </c>
      <c r="G56" s="242">
        <f t="shared" si="37"/>
        <v>3.0117409767503949</v>
      </c>
      <c r="H56" s="239">
        <f t="shared" si="37"/>
        <v>1.2177909166860292</v>
      </c>
      <c r="I56" s="104">
        <f t="shared" si="37"/>
        <v>1.0999401828131876</v>
      </c>
      <c r="J56" s="104">
        <f t="shared" si="37"/>
        <v>1.2177909166860292</v>
      </c>
      <c r="K56" s="104">
        <f t="shared" si="37"/>
        <v>1.1785073387284153</v>
      </c>
      <c r="L56" s="104">
        <f t="shared" si="37"/>
        <v>1.2177909166860292</v>
      </c>
      <c r="M56" s="104">
        <f t="shared" si="37"/>
        <v>1.1785073387284153</v>
      </c>
      <c r="N56" s="104">
        <f t="shared" si="37"/>
        <v>1.2177909166860292</v>
      </c>
      <c r="O56" s="104">
        <f t="shared" si="37"/>
        <v>1.2177909166860292</v>
      </c>
      <c r="P56" s="104">
        <f t="shared" si="37"/>
        <v>1.1785073387284153</v>
      </c>
      <c r="Q56" s="104">
        <f t="shared" si="37"/>
        <v>1.2177909166860292</v>
      </c>
      <c r="R56" s="104">
        <f t="shared" si="37"/>
        <v>1.1785073387284153</v>
      </c>
      <c r="S56" s="242">
        <f t="shared" si="37"/>
        <v>1.2177909166860292</v>
      </c>
      <c r="T56" s="239">
        <f t="shared" si="37"/>
        <v>5.892536693642076E-2</v>
      </c>
      <c r="U56" s="104">
        <f t="shared" si="37"/>
        <v>5.892536693642076E-2</v>
      </c>
      <c r="V56" s="104">
        <f t="shared" si="37"/>
        <v>5.892536693642076E-2</v>
      </c>
      <c r="W56" s="104">
        <f t="shared" si="37"/>
        <v>5.892536693642076E-2</v>
      </c>
      <c r="X56" s="104">
        <f t="shared" si="37"/>
        <v>5.892536693642076E-2</v>
      </c>
      <c r="Y56" s="104">
        <f t="shared" si="37"/>
        <v>5.892536693642076E-2</v>
      </c>
      <c r="Z56" s="104">
        <f t="shared" si="37"/>
        <v>5.892536693642076E-2</v>
      </c>
      <c r="AA56" s="104">
        <f t="shared" si="37"/>
        <v>5.892536693642076E-2</v>
      </c>
      <c r="AB56" s="104">
        <f t="shared" si="37"/>
        <v>5.892536693642076E-2</v>
      </c>
      <c r="AC56" s="104">
        <f t="shared" si="37"/>
        <v>5.892536693642076E-2</v>
      </c>
      <c r="AD56" s="104">
        <f t="shared" si="37"/>
        <v>5.892536693642076E-2</v>
      </c>
      <c r="AE56" s="129">
        <f t="shared" si="37"/>
        <v>5.892536693642076E-2</v>
      </c>
      <c r="AF56" s="104">
        <f t="shared" si="37"/>
        <v>5.892536693642076E-2</v>
      </c>
      <c r="AG56" s="104">
        <f t="shared" si="37"/>
        <v>5.892536693642076E-2</v>
      </c>
      <c r="AH56" s="104">
        <f t="shared" si="37"/>
        <v>5.892536693642076E-2</v>
      </c>
      <c r="AI56" s="104">
        <f t="shared" si="37"/>
        <v>5.892536693642076E-2</v>
      </c>
      <c r="AJ56" s="104">
        <f t="shared" si="37"/>
        <v>5.892536693642076E-2</v>
      </c>
      <c r="AK56" s="104">
        <f t="shared" si="37"/>
        <v>5.892536693642076E-2</v>
      </c>
      <c r="AL56" s="104">
        <f t="shared" si="37"/>
        <v>5.892536693642076E-2</v>
      </c>
      <c r="AM56" s="104">
        <f t="shared" si="37"/>
        <v>5.892536693642076E-2</v>
      </c>
      <c r="AN56" s="104">
        <f t="shared" si="37"/>
        <v>5.892536693642076E-2</v>
      </c>
      <c r="AO56" s="104">
        <f t="shared" si="37"/>
        <v>5.892536693642076E-2</v>
      </c>
      <c r="AP56" s="104">
        <f t="shared" si="37"/>
        <v>5.892536693642076E-2</v>
      </c>
      <c r="AQ56" s="129">
        <f t="shared" si="37"/>
        <v>5.892536693642076E-2</v>
      </c>
    </row>
    <row r="57" spans="2:43" x14ac:dyDescent="0.3">
      <c r="B57" s="318" t="s">
        <v>167</v>
      </c>
      <c r="C57" s="247" t="s">
        <v>10</v>
      </c>
      <c r="D57" s="239" t="s">
        <v>10</v>
      </c>
      <c r="E57" s="104" t="s">
        <v>10</v>
      </c>
      <c r="F57" s="104" t="s">
        <v>10</v>
      </c>
      <c r="G57" s="242" t="s">
        <v>10</v>
      </c>
      <c r="H57" s="239" t="s">
        <v>10</v>
      </c>
      <c r="I57" s="104" t="s">
        <v>10</v>
      </c>
      <c r="J57" s="104" t="s">
        <v>10</v>
      </c>
      <c r="K57" s="104" t="s">
        <v>10</v>
      </c>
      <c r="L57" s="104" t="s">
        <v>10</v>
      </c>
      <c r="M57" s="104" t="s">
        <v>10</v>
      </c>
      <c r="N57" s="104" t="s">
        <v>10</v>
      </c>
      <c r="O57" s="104" t="s">
        <v>10</v>
      </c>
      <c r="P57" s="104" t="s">
        <v>10</v>
      </c>
      <c r="Q57" s="104" t="s">
        <v>10</v>
      </c>
      <c r="R57" s="104" t="s">
        <v>10</v>
      </c>
      <c r="S57" s="242" t="s">
        <v>10</v>
      </c>
      <c r="T57" s="239" t="s">
        <v>10</v>
      </c>
      <c r="U57" s="104" t="s">
        <v>10</v>
      </c>
      <c r="V57" s="104" t="s">
        <v>10</v>
      </c>
      <c r="W57" s="104" t="s">
        <v>10</v>
      </c>
      <c r="X57" s="104" t="s">
        <v>10</v>
      </c>
      <c r="Y57" s="104" t="s">
        <v>10</v>
      </c>
      <c r="Z57" s="104" t="s">
        <v>10</v>
      </c>
      <c r="AA57" s="104" t="s">
        <v>10</v>
      </c>
      <c r="AB57" s="104" t="s">
        <v>10</v>
      </c>
      <c r="AC57" s="104" t="s">
        <v>10</v>
      </c>
      <c r="AD57" s="104" t="s">
        <v>10</v>
      </c>
      <c r="AE57" s="129" t="s">
        <v>10</v>
      </c>
      <c r="AF57" s="104" t="s">
        <v>10</v>
      </c>
      <c r="AG57" s="104" t="s">
        <v>10</v>
      </c>
      <c r="AH57" s="104" t="s">
        <v>10</v>
      </c>
      <c r="AI57" s="104" t="s">
        <v>10</v>
      </c>
      <c r="AJ57" s="104" t="s">
        <v>10</v>
      </c>
      <c r="AK57" s="104" t="s">
        <v>10</v>
      </c>
      <c r="AL57" s="104" t="s">
        <v>10</v>
      </c>
      <c r="AM57" s="104" t="s">
        <v>10</v>
      </c>
      <c r="AN57" s="104" t="s">
        <v>10</v>
      </c>
      <c r="AO57" s="104" t="s">
        <v>10</v>
      </c>
      <c r="AP57" s="104" t="s">
        <v>10</v>
      </c>
      <c r="AQ57" s="129" t="s">
        <v>10</v>
      </c>
    </row>
    <row r="58" spans="2:43" x14ac:dyDescent="0.3">
      <c r="B58" s="128" t="s">
        <v>96</v>
      </c>
      <c r="C58" s="247">
        <f>'Tariffs_ref. prices until 2023'!E101</f>
        <v>152.95011664883799</v>
      </c>
      <c r="D58" s="239">
        <f t="shared" ref="D58:AQ58" si="38">$C$58*D49</f>
        <v>47.142159241080208</v>
      </c>
      <c r="E58" s="104">
        <f t="shared" si="38"/>
        <v>47.665961010425541</v>
      </c>
      <c r="F58" s="104">
        <f t="shared" si="38"/>
        <v>48.189762779770881</v>
      </c>
      <c r="G58" s="242">
        <f t="shared" si="38"/>
        <v>48.189762779770881</v>
      </c>
      <c r="H58" s="239">
        <f t="shared" si="38"/>
        <v>18.186397431670049</v>
      </c>
      <c r="I58" s="104">
        <f t="shared" si="38"/>
        <v>16.426423486669723</v>
      </c>
      <c r="J58" s="104">
        <f t="shared" si="38"/>
        <v>18.186397431670049</v>
      </c>
      <c r="K58" s="104">
        <f t="shared" si="38"/>
        <v>17.599739450003273</v>
      </c>
      <c r="L58" s="104">
        <f t="shared" si="38"/>
        <v>18.186397431670049</v>
      </c>
      <c r="M58" s="104">
        <f t="shared" si="38"/>
        <v>17.599739450003273</v>
      </c>
      <c r="N58" s="104">
        <f t="shared" si="38"/>
        <v>18.186397431670049</v>
      </c>
      <c r="O58" s="104">
        <f t="shared" si="38"/>
        <v>18.186397431670049</v>
      </c>
      <c r="P58" s="104">
        <f t="shared" si="38"/>
        <v>17.599739450003273</v>
      </c>
      <c r="Q58" s="104">
        <f t="shared" si="38"/>
        <v>18.186397431670049</v>
      </c>
      <c r="R58" s="104">
        <f t="shared" si="38"/>
        <v>17.599739450003273</v>
      </c>
      <c r="S58" s="242">
        <f t="shared" si="38"/>
        <v>18.186397431670049</v>
      </c>
      <c r="T58" s="239">
        <f t="shared" si="38"/>
        <v>0.62856212321440275</v>
      </c>
      <c r="U58" s="104">
        <f t="shared" si="38"/>
        <v>0.62856212321440275</v>
      </c>
      <c r="V58" s="104">
        <f t="shared" si="38"/>
        <v>0.62856212321440275</v>
      </c>
      <c r="W58" s="104">
        <f t="shared" si="38"/>
        <v>0.62856212321440275</v>
      </c>
      <c r="X58" s="104">
        <f t="shared" si="38"/>
        <v>0.62856212321440275</v>
      </c>
      <c r="Y58" s="104">
        <f t="shared" si="38"/>
        <v>0.62856212321440275</v>
      </c>
      <c r="Z58" s="104">
        <f t="shared" si="38"/>
        <v>0.62856212321440275</v>
      </c>
      <c r="AA58" s="104">
        <f t="shared" si="38"/>
        <v>0.62856212321440275</v>
      </c>
      <c r="AB58" s="104">
        <f t="shared" si="38"/>
        <v>0.62856212321440275</v>
      </c>
      <c r="AC58" s="104">
        <f t="shared" si="38"/>
        <v>0.62856212321440275</v>
      </c>
      <c r="AD58" s="104">
        <f t="shared" si="38"/>
        <v>0.62856212321440275</v>
      </c>
      <c r="AE58" s="129">
        <f t="shared" si="38"/>
        <v>0.62856212321440275</v>
      </c>
      <c r="AF58" s="104">
        <f t="shared" si="38"/>
        <v>0.62856212321440275</v>
      </c>
      <c r="AG58" s="104">
        <f t="shared" si="38"/>
        <v>0.62856212321440275</v>
      </c>
      <c r="AH58" s="104">
        <f t="shared" si="38"/>
        <v>0.62856212321440275</v>
      </c>
      <c r="AI58" s="104">
        <f t="shared" si="38"/>
        <v>0.62856212321440275</v>
      </c>
      <c r="AJ58" s="104">
        <f t="shared" si="38"/>
        <v>0.62856212321440275</v>
      </c>
      <c r="AK58" s="104">
        <f t="shared" si="38"/>
        <v>0.62856212321440275</v>
      </c>
      <c r="AL58" s="104">
        <f t="shared" si="38"/>
        <v>0.62856212321440275</v>
      </c>
      <c r="AM58" s="104">
        <f t="shared" si="38"/>
        <v>0.62856212321440275</v>
      </c>
      <c r="AN58" s="104">
        <f t="shared" si="38"/>
        <v>0.62856212321440275</v>
      </c>
      <c r="AO58" s="104">
        <f t="shared" si="38"/>
        <v>0.62856212321440275</v>
      </c>
      <c r="AP58" s="104">
        <f t="shared" si="38"/>
        <v>0.62856212321440275</v>
      </c>
      <c r="AQ58" s="129">
        <f t="shared" si="38"/>
        <v>0.62856212321440275</v>
      </c>
    </row>
    <row r="59" spans="2:43" x14ac:dyDescent="0.3">
      <c r="B59" s="128" t="s">
        <v>97</v>
      </c>
      <c r="C59" s="247">
        <f>'Tariffs_ref. prices until 2023'!E102</f>
        <v>31.716427322226693</v>
      </c>
      <c r="D59" s="239">
        <f t="shared" ref="D59:AQ59" si="39">$C$59*D50</f>
        <v>30.130605956115353</v>
      </c>
      <c r="E59" s="104">
        <f t="shared" si="39"/>
        <v>11.100749562779344</v>
      </c>
      <c r="F59" s="104">
        <f t="shared" si="39"/>
        <v>9.5149281966680075</v>
      </c>
      <c r="G59" s="242">
        <f t="shared" si="39"/>
        <v>19.029856393336015</v>
      </c>
      <c r="H59" s="239">
        <f t="shared" si="39"/>
        <v>11.10074956277934</v>
      </c>
      <c r="I59" s="104">
        <f t="shared" si="39"/>
        <v>11.10074956277934</v>
      </c>
      <c r="J59" s="104">
        <f t="shared" si="39"/>
        <v>7.9291068305566723</v>
      </c>
      <c r="K59" s="104">
        <f t="shared" si="39"/>
        <v>6.3432854644453389</v>
      </c>
      <c r="L59" s="104">
        <f t="shared" si="39"/>
        <v>4.1231355518894697</v>
      </c>
      <c r="M59" s="104">
        <f t="shared" si="39"/>
        <v>4.1231355518894706</v>
      </c>
      <c r="N59" s="104">
        <f t="shared" si="39"/>
        <v>4.1231355518894697</v>
      </c>
      <c r="O59" s="104">
        <f t="shared" si="39"/>
        <v>4.1231355518894697</v>
      </c>
      <c r="P59" s="104">
        <f t="shared" si="39"/>
        <v>4.1231355518894706</v>
      </c>
      <c r="Q59" s="104">
        <f t="shared" si="39"/>
        <v>6.3432854644453398</v>
      </c>
      <c r="R59" s="104">
        <f t="shared" si="39"/>
        <v>6.3432854644453389</v>
      </c>
      <c r="S59" s="242">
        <f t="shared" si="39"/>
        <v>11.10074956277934</v>
      </c>
      <c r="T59" s="239">
        <f t="shared" si="39"/>
        <v>0.55503747813896698</v>
      </c>
      <c r="U59" s="104">
        <f t="shared" si="39"/>
        <v>0.55503747813896698</v>
      </c>
      <c r="V59" s="104">
        <f t="shared" si="39"/>
        <v>0.39645534152783363</v>
      </c>
      <c r="W59" s="104">
        <f t="shared" si="39"/>
        <v>0.31716427322226687</v>
      </c>
      <c r="X59" s="104">
        <f t="shared" si="39"/>
        <v>0.20615677759447346</v>
      </c>
      <c r="Y59" s="104">
        <f t="shared" si="39"/>
        <v>0.20615677759447346</v>
      </c>
      <c r="Z59" s="104">
        <f t="shared" si="39"/>
        <v>0.20615677759447346</v>
      </c>
      <c r="AA59" s="104">
        <f t="shared" si="39"/>
        <v>0.20615677759447346</v>
      </c>
      <c r="AB59" s="104">
        <f t="shared" si="39"/>
        <v>0.20615677759447346</v>
      </c>
      <c r="AC59" s="104">
        <f t="shared" si="39"/>
        <v>0.31716427322226687</v>
      </c>
      <c r="AD59" s="104">
        <f t="shared" si="39"/>
        <v>0.31716427322226687</v>
      </c>
      <c r="AE59" s="129">
        <f t="shared" si="39"/>
        <v>0.55503747813896698</v>
      </c>
      <c r="AF59" s="104">
        <f t="shared" si="39"/>
        <v>0.55503747813896698</v>
      </c>
      <c r="AG59" s="104">
        <f t="shared" si="39"/>
        <v>0.55503747813896698</v>
      </c>
      <c r="AH59" s="104">
        <f t="shared" si="39"/>
        <v>0.39645534152783363</v>
      </c>
      <c r="AI59" s="104">
        <f t="shared" si="39"/>
        <v>0.31716427322226687</v>
      </c>
      <c r="AJ59" s="104">
        <f t="shared" si="39"/>
        <v>0.20615677759447346</v>
      </c>
      <c r="AK59" s="104">
        <f t="shared" si="39"/>
        <v>0.20615677759447346</v>
      </c>
      <c r="AL59" s="104">
        <f t="shared" si="39"/>
        <v>0.20615677759447346</v>
      </c>
      <c r="AM59" s="104">
        <f t="shared" si="39"/>
        <v>0.20615677759447346</v>
      </c>
      <c r="AN59" s="104">
        <f t="shared" si="39"/>
        <v>0.20615677759447346</v>
      </c>
      <c r="AO59" s="104">
        <f t="shared" si="39"/>
        <v>0.31716427322226687</v>
      </c>
      <c r="AP59" s="104">
        <f t="shared" si="39"/>
        <v>0.31716427322226687</v>
      </c>
      <c r="AQ59" s="129">
        <f t="shared" si="39"/>
        <v>0.55503747813896698</v>
      </c>
    </row>
    <row r="60" spans="2:43" x14ac:dyDescent="0.3">
      <c r="B60" s="318" t="s">
        <v>168</v>
      </c>
      <c r="C60" s="247" t="s">
        <v>10</v>
      </c>
      <c r="D60" s="239" t="s">
        <v>10</v>
      </c>
      <c r="E60" s="104" t="s">
        <v>10</v>
      </c>
      <c r="F60" s="104" t="s">
        <v>10</v>
      </c>
      <c r="G60" s="242" t="s">
        <v>10</v>
      </c>
      <c r="H60" s="239" t="s">
        <v>10</v>
      </c>
      <c r="I60" s="104" t="s">
        <v>10</v>
      </c>
      <c r="J60" s="104" t="s">
        <v>10</v>
      </c>
      <c r="K60" s="104" t="s">
        <v>10</v>
      </c>
      <c r="L60" s="104" t="s">
        <v>10</v>
      </c>
      <c r="M60" s="104" t="s">
        <v>10</v>
      </c>
      <c r="N60" s="104" t="s">
        <v>10</v>
      </c>
      <c r="O60" s="104" t="s">
        <v>10</v>
      </c>
      <c r="P60" s="104" t="s">
        <v>10</v>
      </c>
      <c r="Q60" s="104" t="s">
        <v>10</v>
      </c>
      <c r="R60" s="104" t="s">
        <v>10</v>
      </c>
      <c r="S60" s="242" t="s">
        <v>10</v>
      </c>
      <c r="T60" s="239" t="s">
        <v>10</v>
      </c>
      <c r="U60" s="104" t="s">
        <v>10</v>
      </c>
      <c r="V60" s="104" t="s">
        <v>10</v>
      </c>
      <c r="W60" s="104" t="s">
        <v>10</v>
      </c>
      <c r="X60" s="104" t="s">
        <v>10</v>
      </c>
      <c r="Y60" s="104" t="s">
        <v>10</v>
      </c>
      <c r="Z60" s="104" t="s">
        <v>10</v>
      </c>
      <c r="AA60" s="104" t="s">
        <v>10</v>
      </c>
      <c r="AB60" s="104" t="s">
        <v>10</v>
      </c>
      <c r="AC60" s="104" t="s">
        <v>10</v>
      </c>
      <c r="AD60" s="104" t="s">
        <v>10</v>
      </c>
      <c r="AE60" s="129" t="s">
        <v>10</v>
      </c>
      <c r="AF60" s="104" t="s">
        <v>10</v>
      </c>
      <c r="AG60" s="104" t="s">
        <v>10</v>
      </c>
      <c r="AH60" s="104" t="s">
        <v>10</v>
      </c>
      <c r="AI60" s="104" t="s">
        <v>10</v>
      </c>
      <c r="AJ60" s="104" t="s">
        <v>10</v>
      </c>
      <c r="AK60" s="104" t="s">
        <v>10</v>
      </c>
      <c r="AL60" s="104" t="s">
        <v>10</v>
      </c>
      <c r="AM60" s="104" t="s">
        <v>10</v>
      </c>
      <c r="AN60" s="104" t="s">
        <v>10</v>
      </c>
      <c r="AO60" s="104" t="s">
        <v>10</v>
      </c>
      <c r="AP60" s="104" t="s">
        <v>10</v>
      </c>
      <c r="AQ60" s="129" t="s">
        <v>10</v>
      </c>
    </row>
    <row r="61" spans="2:43" x14ac:dyDescent="0.3">
      <c r="B61" s="128" t="s">
        <v>98</v>
      </c>
      <c r="C61" s="247">
        <f>'Tariffs_ref. prices until 2023'!E105</f>
        <v>101.60037552122736</v>
      </c>
      <c r="D61" s="239">
        <f t="shared" ref="D61:AQ61" si="40">$C$61*D52</f>
        <v>96.520356745165984</v>
      </c>
      <c r="E61" s="104">
        <f t="shared" si="40"/>
        <v>35.560131432429579</v>
      </c>
      <c r="F61" s="104">
        <f t="shared" si="40"/>
        <v>30.480112656368206</v>
      </c>
      <c r="G61" s="242">
        <f t="shared" si="40"/>
        <v>60.960225312736412</v>
      </c>
      <c r="H61" s="239">
        <f t="shared" si="40"/>
        <v>35.560131432429571</v>
      </c>
      <c r="I61" s="104">
        <f t="shared" si="40"/>
        <v>35.560131432429571</v>
      </c>
      <c r="J61" s="104">
        <f t="shared" si="40"/>
        <v>25.400093880306837</v>
      </c>
      <c r="K61" s="104">
        <f t="shared" si="40"/>
        <v>20.320075104245475</v>
      </c>
      <c r="L61" s="104">
        <f t="shared" si="40"/>
        <v>13.208048817759554</v>
      </c>
      <c r="M61" s="104">
        <f t="shared" si="40"/>
        <v>13.208048817759558</v>
      </c>
      <c r="N61" s="104">
        <f t="shared" si="40"/>
        <v>13.208048817759554</v>
      </c>
      <c r="O61" s="104">
        <f t="shared" si="40"/>
        <v>13.208048817759554</v>
      </c>
      <c r="P61" s="104">
        <f t="shared" si="40"/>
        <v>13.208048817759558</v>
      </c>
      <c r="Q61" s="104">
        <f t="shared" si="40"/>
        <v>20.320075104245475</v>
      </c>
      <c r="R61" s="104">
        <f t="shared" si="40"/>
        <v>20.320075104245475</v>
      </c>
      <c r="S61" s="242">
        <f t="shared" si="40"/>
        <v>35.560131432429571</v>
      </c>
      <c r="T61" s="239">
        <f t="shared" si="40"/>
        <v>1.7780065716214783</v>
      </c>
      <c r="U61" s="104">
        <f t="shared" si="40"/>
        <v>1.7780065716214783</v>
      </c>
      <c r="V61" s="104">
        <f t="shared" si="40"/>
        <v>1.270004694015342</v>
      </c>
      <c r="W61" s="104">
        <f t="shared" si="40"/>
        <v>1.0160037552122734</v>
      </c>
      <c r="X61" s="104">
        <f t="shared" si="40"/>
        <v>0.66040244088797773</v>
      </c>
      <c r="Y61" s="104">
        <f t="shared" si="40"/>
        <v>0.66040244088797773</v>
      </c>
      <c r="Z61" s="104">
        <f t="shared" si="40"/>
        <v>0.66040244088797773</v>
      </c>
      <c r="AA61" s="104">
        <f t="shared" si="40"/>
        <v>0.66040244088797773</v>
      </c>
      <c r="AB61" s="104">
        <f t="shared" si="40"/>
        <v>0.66040244088797773</v>
      </c>
      <c r="AC61" s="104">
        <f t="shared" si="40"/>
        <v>1.0160037552122734</v>
      </c>
      <c r="AD61" s="104">
        <f t="shared" si="40"/>
        <v>1.0160037552122734</v>
      </c>
      <c r="AE61" s="129">
        <f t="shared" si="40"/>
        <v>1.7780065716214783</v>
      </c>
      <c r="AF61" s="104">
        <f t="shared" si="40"/>
        <v>1.7780065716214783</v>
      </c>
      <c r="AG61" s="104">
        <f t="shared" si="40"/>
        <v>1.7780065716214783</v>
      </c>
      <c r="AH61" s="104">
        <f t="shared" si="40"/>
        <v>1.270004694015342</v>
      </c>
      <c r="AI61" s="104">
        <f t="shared" si="40"/>
        <v>1.0160037552122734</v>
      </c>
      <c r="AJ61" s="104">
        <f t="shared" si="40"/>
        <v>0.66040244088797773</v>
      </c>
      <c r="AK61" s="104">
        <f t="shared" si="40"/>
        <v>0.66040244088797773</v>
      </c>
      <c r="AL61" s="104">
        <f t="shared" si="40"/>
        <v>0.66040244088797773</v>
      </c>
      <c r="AM61" s="104">
        <f t="shared" si="40"/>
        <v>0.66040244088797773</v>
      </c>
      <c r="AN61" s="104">
        <f t="shared" si="40"/>
        <v>0.66040244088797773</v>
      </c>
      <c r="AO61" s="104">
        <f t="shared" si="40"/>
        <v>1.0160037552122734</v>
      </c>
      <c r="AP61" s="104">
        <f t="shared" si="40"/>
        <v>1.0160037552122734</v>
      </c>
      <c r="AQ61" s="129">
        <f t="shared" si="40"/>
        <v>1.7780065716214783</v>
      </c>
    </row>
    <row r="62" spans="2:43" ht="15.6" x14ac:dyDescent="0.3">
      <c r="B62" s="394" t="s">
        <v>8</v>
      </c>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row>
    <row r="63" spans="2:43" x14ac:dyDescent="0.3">
      <c r="B63" s="132"/>
      <c r="C63" s="396" t="s">
        <v>84</v>
      </c>
      <c r="D63" s="399" t="s">
        <v>82</v>
      </c>
      <c r="E63" s="399"/>
      <c r="F63" s="399"/>
      <c r="G63" s="400"/>
      <c r="H63" s="399" t="s">
        <v>83</v>
      </c>
      <c r="I63" s="399"/>
      <c r="J63" s="399"/>
      <c r="K63" s="399"/>
      <c r="L63" s="399"/>
      <c r="M63" s="399"/>
      <c r="N63" s="399"/>
      <c r="O63" s="399"/>
      <c r="P63" s="399"/>
      <c r="Q63" s="399"/>
      <c r="R63" s="399"/>
      <c r="S63" s="400"/>
      <c r="T63" s="399" t="s">
        <v>91</v>
      </c>
      <c r="U63" s="399"/>
      <c r="V63" s="399"/>
      <c r="W63" s="399"/>
      <c r="X63" s="399"/>
      <c r="Y63" s="399"/>
      <c r="Z63" s="399"/>
      <c r="AA63" s="399"/>
      <c r="AB63" s="399"/>
      <c r="AC63" s="399"/>
      <c r="AD63" s="399"/>
      <c r="AE63" s="401"/>
      <c r="AF63" s="402" t="s">
        <v>92</v>
      </c>
      <c r="AG63" s="399"/>
      <c r="AH63" s="399"/>
      <c r="AI63" s="399"/>
      <c r="AJ63" s="399"/>
      <c r="AK63" s="399"/>
      <c r="AL63" s="399"/>
      <c r="AM63" s="399"/>
      <c r="AN63" s="399"/>
      <c r="AO63" s="399"/>
      <c r="AP63" s="399"/>
      <c r="AQ63" s="401"/>
    </row>
    <row r="64" spans="2:43" x14ac:dyDescent="0.3">
      <c r="B64" s="125" t="s">
        <v>81</v>
      </c>
      <c r="C64" s="397"/>
      <c r="D64" s="236" t="s">
        <v>39</v>
      </c>
      <c r="E64" s="172" t="s">
        <v>40</v>
      </c>
      <c r="F64" s="172" t="s">
        <v>41</v>
      </c>
      <c r="G64" s="240" t="s">
        <v>42</v>
      </c>
      <c r="H64" s="236" t="s">
        <v>24</v>
      </c>
      <c r="I64" s="172" t="s">
        <v>25</v>
      </c>
      <c r="J64" s="172" t="s">
        <v>26</v>
      </c>
      <c r="K64" s="172" t="s">
        <v>27</v>
      </c>
      <c r="L64" s="172" t="s">
        <v>17</v>
      </c>
      <c r="M64" s="172" t="s">
        <v>28</v>
      </c>
      <c r="N64" s="172" t="s">
        <v>29</v>
      </c>
      <c r="O64" s="172" t="s">
        <v>30</v>
      </c>
      <c r="P64" s="172" t="s">
        <v>31</v>
      </c>
      <c r="Q64" s="172" t="s">
        <v>32</v>
      </c>
      <c r="R64" s="172" t="s">
        <v>33</v>
      </c>
      <c r="S64" s="240" t="s">
        <v>34</v>
      </c>
      <c r="T64" s="236" t="s">
        <v>24</v>
      </c>
      <c r="U64" s="172" t="s">
        <v>25</v>
      </c>
      <c r="V64" s="172" t="s">
        <v>26</v>
      </c>
      <c r="W64" s="172" t="s">
        <v>27</v>
      </c>
      <c r="X64" s="172" t="s">
        <v>17</v>
      </c>
      <c r="Y64" s="172" t="s">
        <v>28</v>
      </c>
      <c r="Z64" s="172" t="s">
        <v>29</v>
      </c>
      <c r="AA64" s="172" t="s">
        <v>30</v>
      </c>
      <c r="AB64" s="172" t="s">
        <v>31</v>
      </c>
      <c r="AC64" s="172" t="s">
        <v>32</v>
      </c>
      <c r="AD64" s="172" t="s">
        <v>33</v>
      </c>
      <c r="AE64" s="126" t="s">
        <v>34</v>
      </c>
      <c r="AF64" s="172" t="s">
        <v>24</v>
      </c>
      <c r="AG64" s="172" t="s">
        <v>25</v>
      </c>
      <c r="AH64" s="172" t="s">
        <v>26</v>
      </c>
      <c r="AI64" s="172" t="s">
        <v>27</v>
      </c>
      <c r="AJ64" s="172" t="s">
        <v>17</v>
      </c>
      <c r="AK64" s="172" t="s">
        <v>28</v>
      </c>
      <c r="AL64" s="172" t="s">
        <v>29</v>
      </c>
      <c r="AM64" s="172" t="s">
        <v>30</v>
      </c>
      <c r="AN64" s="172" t="s">
        <v>31</v>
      </c>
      <c r="AO64" s="172" t="s">
        <v>32</v>
      </c>
      <c r="AP64" s="172" t="s">
        <v>33</v>
      </c>
      <c r="AQ64" s="126" t="s">
        <v>34</v>
      </c>
    </row>
    <row r="65" spans="2:43" x14ac:dyDescent="0.3">
      <c r="B65" s="125" t="s">
        <v>80</v>
      </c>
      <c r="C65" s="397"/>
      <c r="D65" s="238">
        <f>1/$C$12*D12*$D$21</f>
        <v>0.27349726775956285</v>
      </c>
      <c r="E65" s="124">
        <f>1/$C$12*E12*$D$21</f>
        <v>0.27349726775956285</v>
      </c>
      <c r="F65" s="124">
        <f>1/$C$12*F12*$D$21</f>
        <v>0.2765027322404372</v>
      </c>
      <c r="G65" s="241">
        <f>1/$C$12*G12*$D$21</f>
        <v>0.2765027322404372</v>
      </c>
      <c r="H65" s="238">
        <f>1/$C$12*H12*$E$21</f>
        <v>0.1058743169398907</v>
      </c>
      <c r="I65" s="124">
        <f t="shared" ref="I65:S65" si="41">1/$C$12*I12*$E$21</f>
        <v>9.9043715846994534E-2</v>
      </c>
      <c r="J65" s="124">
        <f t="shared" si="41"/>
        <v>0.1058743169398907</v>
      </c>
      <c r="K65" s="124">
        <f t="shared" si="41"/>
        <v>0.10245901639344261</v>
      </c>
      <c r="L65" s="124">
        <f t="shared" si="41"/>
        <v>0.1058743169398907</v>
      </c>
      <c r="M65" s="124">
        <f t="shared" si="41"/>
        <v>0.10245901639344261</v>
      </c>
      <c r="N65" s="124">
        <f t="shared" si="41"/>
        <v>0.1058743169398907</v>
      </c>
      <c r="O65" s="124">
        <f t="shared" si="41"/>
        <v>0.1058743169398907</v>
      </c>
      <c r="P65" s="124">
        <f t="shared" si="41"/>
        <v>0.10245901639344261</v>
      </c>
      <c r="Q65" s="124">
        <f t="shared" si="41"/>
        <v>0.1058743169398907</v>
      </c>
      <c r="R65" s="124">
        <f t="shared" si="41"/>
        <v>0.10245901639344261</v>
      </c>
      <c r="S65" s="241">
        <f t="shared" si="41"/>
        <v>0.1058743169398907</v>
      </c>
      <c r="T65" s="238">
        <f t="shared" ref="T65:AE65" si="42">1/$C$12*$F$21</f>
        <v>4.0983606557377051E-3</v>
      </c>
      <c r="U65" s="124">
        <f t="shared" si="42"/>
        <v>4.0983606557377051E-3</v>
      </c>
      <c r="V65" s="124">
        <f t="shared" si="42"/>
        <v>4.0983606557377051E-3</v>
      </c>
      <c r="W65" s="124">
        <f t="shared" si="42"/>
        <v>4.0983606557377051E-3</v>
      </c>
      <c r="X65" s="124">
        <f t="shared" si="42"/>
        <v>4.0983606557377051E-3</v>
      </c>
      <c r="Y65" s="124">
        <f t="shared" si="42"/>
        <v>4.0983606557377051E-3</v>
      </c>
      <c r="Z65" s="124">
        <f t="shared" si="42"/>
        <v>4.0983606557377051E-3</v>
      </c>
      <c r="AA65" s="124">
        <f t="shared" si="42"/>
        <v>4.0983606557377051E-3</v>
      </c>
      <c r="AB65" s="124">
        <f t="shared" si="42"/>
        <v>4.0983606557377051E-3</v>
      </c>
      <c r="AC65" s="124">
        <f t="shared" si="42"/>
        <v>4.0983606557377051E-3</v>
      </c>
      <c r="AD65" s="124">
        <f t="shared" si="42"/>
        <v>4.0983606557377051E-3</v>
      </c>
      <c r="AE65" s="127">
        <f t="shared" si="42"/>
        <v>4.0983606557377051E-3</v>
      </c>
      <c r="AF65" s="124">
        <f t="shared" ref="AF65:AQ65" si="43">1/$C$12*$G$21</f>
        <v>4.0983606557377051E-3</v>
      </c>
      <c r="AG65" s="124">
        <f t="shared" si="43"/>
        <v>4.0983606557377051E-3</v>
      </c>
      <c r="AH65" s="124">
        <f t="shared" si="43"/>
        <v>4.0983606557377051E-3</v>
      </c>
      <c r="AI65" s="124">
        <f t="shared" si="43"/>
        <v>4.0983606557377051E-3</v>
      </c>
      <c r="AJ65" s="124">
        <f t="shared" si="43"/>
        <v>4.0983606557377051E-3</v>
      </c>
      <c r="AK65" s="124">
        <f t="shared" si="43"/>
        <v>4.0983606557377051E-3</v>
      </c>
      <c r="AL65" s="124">
        <f t="shared" si="43"/>
        <v>4.0983606557377051E-3</v>
      </c>
      <c r="AM65" s="124">
        <f t="shared" si="43"/>
        <v>4.0983606557377051E-3</v>
      </c>
      <c r="AN65" s="124">
        <f t="shared" si="43"/>
        <v>4.0983606557377051E-3</v>
      </c>
      <c r="AO65" s="124">
        <f t="shared" si="43"/>
        <v>4.0983606557377051E-3</v>
      </c>
      <c r="AP65" s="124">
        <f t="shared" si="43"/>
        <v>4.0983606557377051E-3</v>
      </c>
      <c r="AQ65" s="127">
        <f t="shared" si="43"/>
        <v>4.0983606557377051E-3</v>
      </c>
    </row>
    <row r="66" spans="2:43" x14ac:dyDescent="0.3">
      <c r="B66" s="125" t="s">
        <v>96</v>
      </c>
      <c r="C66" s="397"/>
      <c r="D66" s="238">
        <f>1/$C$12*D12*$H$21</f>
        <v>0.27349726775956285</v>
      </c>
      <c r="E66" s="124">
        <f>1/$C$12*E12*$H$21</f>
        <v>0.27349726775956285</v>
      </c>
      <c r="F66" s="124">
        <f>1/$C$12*F12*$H$21</f>
        <v>0.2765027322404372</v>
      </c>
      <c r="G66" s="241">
        <f>1/$C$12*G12*$H$21</f>
        <v>0.2765027322404372</v>
      </c>
      <c r="H66" s="238">
        <f t="shared" ref="H66:S66" si="44">1/$C$12*H12*$I$21</f>
        <v>0.1058743169398907</v>
      </c>
      <c r="I66" s="124">
        <f t="shared" si="44"/>
        <v>9.9043715846994534E-2</v>
      </c>
      <c r="J66" s="124">
        <f t="shared" si="44"/>
        <v>0.1058743169398907</v>
      </c>
      <c r="K66" s="124">
        <f t="shared" si="44"/>
        <v>0.10245901639344261</v>
      </c>
      <c r="L66" s="124">
        <f t="shared" si="44"/>
        <v>0.1058743169398907</v>
      </c>
      <c r="M66" s="124">
        <f t="shared" si="44"/>
        <v>0.10245901639344261</v>
      </c>
      <c r="N66" s="124">
        <f t="shared" si="44"/>
        <v>0.1058743169398907</v>
      </c>
      <c r="O66" s="124">
        <f t="shared" si="44"/>
        <v>0.1058743169398907</v>
      </c>
      <c r="P66" s="124">
        <f t="shared" si="44"/>
        <v>0.10245901639344261</v>
      </c>
      <c r="Q66" s="124">
        <f t="shared" si="44"/>
        <v>0.1058743169398907</v>
      </c>
      <c r="R66" s="124">
        <f t="shared" si="44"/>
        <v>0.10245901639344261</v>
      </c>
      <c r="S66" s="241">
        <f t="shared" si="44"/>
        <v>0.1058743169398907</v>
      </c>
      <c r="T66" s="238">
        <f t="shared" ref="T66:AD66" si="45">1/$C$12*$J$21</f>
        <v>4.0983606557377051E-3</v>
      </c>
      <c r="U66" s="124">
        <f t="shared" si="45"/>
        <v>4.0983606557377051E-3</v>
      </c>
      <c r="V66" s="124">
        <f t="shared" si="45"/>
        <v>4.0983606557377051E-3</v>
      </c>
      <c r="W66" s="124">
        <f t="shared" si="45"/>
        <v>4.0983606557377051E-3</v>
      </c>
      <c r="X66" s="124">
        <f t="shared" si="45"/>
        <v>4.0983606557377051E-3</v>
      </c>
      <c r="Y66" s="124">
        <f t="shared" si="45"/>
        <v>4.0983606557377051E-3</v>
      </c>
      <c r="Z66" s="124">
        <f t="shared" si="45"/>
        <v>4.0983606557377051E-3</v>
      </c>
      <c r="AA66" s="124">
        <f t="shared" si="45"/>
        <v>4.0983606557377051E-3</v>
      </c>
      <c r="AB66" s="124">
        <f t="shared" si="45"/>
        <v>4.0983606557377051E-3</v>
      </c>
      <c r="AC66" s="124">
        <f t="shared" si="45"/>
        <v>4.0983606557377051E-3</v>
      </c>
      <c r="AD66" s="124">
        <f t="shared" si="45"/>
        <v>4.0983606557377051E-3</v>
      </c>
      <c r="AE66" s="127">
        <f>1/$C$12*$J$21</f>
        <v>4.0983606557377051E-3</v>
      </c>
      <c r="AF66" s="124">
        <f t="shared" ref="AF66:AP66" si="46">1/$C$12*$K$21</f>
        <v>4.0983606557377051E-3</v>
      </c>
      <c r="AG66" s="124">
        <f t="shared" si="46"/>
        <v>4.0983606557377051E-3</v>
      </c>
      <c r="AH66" s="124">
        <f t="shared" si="46"/>
        <v>4.0983606557377051E-3</v>
      </c>
      <c r="AI66" s="124">
        <f t="shared" si="46"/>
        <v>4.0983606557377051E-3</v>
      </c>
      <c r="AJ66" s="124">
        <f t="shared" si="46"/>
        <v>4.0983606557377051E-3</v>
      </c>
      <c r="AK66" s="124">
        <f t="shared" si="46"/>
        <v>4.0983606557377051E-3</v>
      </c>
      <c r="AL66" s="124">
        <f t="shared" si="46"/>
        <v>4.0983606557377051E-3</v>
      </c>
      <c r="AM66" s="124">
        <f t="shared" si="46"/>
        <v>4.0983606557377051E-3</v>
      </c>
      <c r="AN66" s="124">
        <f t="shared" si="46"/>
        <v>4.0983606557377051E-3</v>
      </c>
      <c r="AO66" s="124">
        <f t="shared" si="46"/>
        <v>4.0983606557377051E-3</v>
      </c>
      <c r="AP66" s="124">
        <f t="shared" si="46"/>
        <v>4.0983606557377051E-3</v>
      </c>
      <c r="AQ66" s="127">
        <f>1/$C$12*$K$21</f>
        <v>4.0983606557377051E-3</v>
      </c>
    </row>
    <row r="67" spans="2:43" x14ac:dyDescent="0.3">
      <c r="B67" s="125" t="s">
        <v>97</v>
      </c>
      <c r="C67" s="397"/>
      <c r="D67" s="238">
        <f>1/$C$12*D12*$L$21*D39</f>
        <v>0.49415983606557379</v>
      </c>
      <c r="E67" s="124">
        <f>1/$C$12*E12*$L$21*E39</f>
        <v>0.20512295081967213</v>
      </c>
      <c r="F67" s="124">
        <f>1/$C$12*F12*$L$21*F39</f>
        <v>0.20423497267759563</v>
      </c>
      <c r="G67" s="241">
        <f>1/$C$12*G12*$L$21*G39</f>
        <v>0.3456284153005465</v>
      </c>
      <c r="H67" s="238">
        <f t="shared" ref="H67:S67" si="47">1/$C$12*H12*$M$21*H39</f>
        <v>0.20709016393442622</v>
      </c>
      <c r="I67" s="124">
        <f t="shared" si="47"/>
        <v>0.17233606557377049</v>
      </c>
      <c r="J67" s="124">
        <f t="shared" si="47"/>
        <v>0.21598360655737706</v>
      </c>
      <c r="K67" s="124">
        <f t="shared" si="47"/>
        <v>9.0983606557377042E-2</v>
      </c>
      <c r="L67" s="124">
        <f t="shared" si="47"/>
        <v>7.4959016393442615E-2</v>
      </c>
      <c r="M67" s="124">
        <f t="shared" si="47"/>
        <v>7.9918032786885251E-2</v>
      </c>
      <c r="N67" s="124">
        <f t="shared" si="47"/>
        <v>5.463114754098361E-2</v>
      </c>
      <c r="O67" s="124">
        <f t="shared" si="47"/>
        <v>8.5122950819672139E-2</v>
      </c>
      <c r="P67" s="124">
        <f t="shared" si="47"/>
        <v>0.10327868852459016</v>
      </c>
      <c r="Q67" s="124">
        <f t="shared" si="47"/>
        <v>0.13467213114754098</v>
      </c>
      <c r="R67" s="124">
        <f t="shared" si="47"/>
        <v>0.14016393442622949</v>
      </c>
      <c r="S67" s="241">
        <f t="shared" si="47"/>
        <v>0.14102459016393445</v>
      </c>
      <c r="T67" s="238">
        <f t="shared" ref="T67:AE67" si="48">1/$C$12*$N$21*T39</f>
        <v>1.3360655737704917E-2</v>
      </c>
      <c r="U67" s="124">
        <f t="shared" si="48"/>
        <v>1.1885245901639344E-2</v>
      </c>
      <c r="V67" s="124">
        <f t="shared" si="48"/>
        <v>1.3934426229508197E-2</v>
      </c>
      <c r="W67" s="124">
        <f t="shared" si="48"/>
        <v>6.0655737704918035E-3</v>
      </c>
      <c r="X67" s="124">
        <f t="shared" si="48"/>
        <v>4.8360655737704917E-3</v>
      </c>
      <c r="Y67" s="124">
        <f t="shared" si="48"/>
        <v>5.3278688524590169E-3</v>
      </c>
      <c r="Z67" s="124">
        <f t="shared" si="48"/>
        <v>3.5245901639344266E-3</v>
      </c>
      <c r="AA67" s="124">
        <f t="shared" si="48"/>
        <v>5.4918032786885253E-3</v>
      </c>
      <c r="AB67" s="124">
        <f t="shared" si="48"/>
        <v>6.8852459016393447E-3</v>
      </c>
      <c r="AC67" s="124">
        <f t="shared" si="48"/>
        <v>8.6885245901639346E-3</v>
      </c>
      <c r="AD67" s="124">
        <f t="shared" si="48"/>
        <v>9.3442622950819666E-3</v>
      </c>
      <c r="AE67" s="127">
        <f t="shared" si="48"/>
        <v>9.098360655737707E-3</v>
      </c>
      <c r="AF67" s="124">
        <f>T67</f>
        <v>1.3360655737704917E-2</v>
      </c>
      <c r="AG67" s="124">
        <f t="shared" ref="AG67:AP67" si="49">U67</f>
        <v>1.1885245901639344E-2</v>
      </c>
      <c r="AH67" s="124">
        <f t="shared" si="49"/>
        <v>1.3934426229508197E-2</v>
      </c>
      <c r="AI67" s="124">
        <f t="shared" si="49"/>
        <v>6.0655737704918035E-3</v>
      </c>
      <c r="AJ67" s="124">
        <f t="shared" si="49"/>
        <v>4.8360655737704917E-3</v>
      </c>
      <c r="AK67" s="124">
        <f t="shared" si="49"/>
        <v>5.3278688524590169E-3</v>
      </c>
      <c r="AL67" s="124">
        <f t="shared" si="49"/>
        <v>3.5245901639344266E-3</v>
      </c>
      <c r="AM67" s="124">
        <f t="shared" si="49"/>
        <v>5.4918032786885253E-3</v>
      </c>
      <c r="AN67" s="124">
        <f t="shared" si="49"/>
        <v>6.8852459016393447E-3</v>
      </c>
      <c r="AO67" s="124">
        <f t="shared" si="49"/>
        <v>8.6885245901639346E-3</v>
      </c>
      <c r="AP67" s="124">
        <f t="shared" si="49"/>
        <v>9.3442622950819666E-3</v>
      </c>
      <c r="AQ67" s="127">
        <f>AE67</f>
        <v>9.098360655737707E-3</v>
      </c>
    </row>
    <row r="68" spans="2:43" x14ac:dyDescent="0.3">
      <c r="B68" s="340" t="s">
        <v>174</v>
      </c>
      <c r="C68" s="397"/>
      <c r="D68" s="238" t="s">
        <v>10</v>
      </c>
      <c r="E68" s="124" t="s">
        <v>10</v>
      </c>
      <c r="F68" s="124" t="s">
        <v>10</v>
      </c>
      <c r="G68" s="241" t="s">
        <v>10</v>
      </c>
      <c r="H68" s="238" t="s">
        <v>10</v>
      </c>
      <c r="I68" s="124" t="s">
        <v>10</v>
      </c>
      <c r="J68" s="124" t="s">
        <v>10</v>
      </c>
      <c r="K68" s="124" t="s">
        <v>10</v>
      </c>
      <c r="L68" s="124" t="s">
        <v>10</v>
      </c>
      <c r="M68" s="124" t="s">
        <v>10</v>
      </c>
      <c r="N68" s="124" t="s">
        <v>10</v>
      </c>
      <c r="O68" s="124" t="s">
        <v>10</v>
      </c>
      <c r="P68" s="124" t="s">
        <v>10</v>
      </c>
      <c r="Q68" s="124" t="s">
        <v>10</v>
      </c>
      <c r="R68" s="124" t="s">
        <v>10</v>
      </c>
      <c r="S68" s="241" t="s">
        <v>10</v>
      </c>
      <c r="T68" s="238" t="s">
        <v>10</v>
      </c>
      <c r="U68" s="124" t="s">
        <v>10</v>
      </c>
      <c r="V68" s="124" t="s">
        <v>10</v>
      </c>
      <c r="W68" s="124" t="s">
        <v>10</v>
      </c>
      <c r="X68" s="124" t="s">
        <v>10</v>
      </c>
      <c r="Y68" s="124" t="s">
        <v>10</v>
      </c>
      <c r="Z68" s="124" t="s">
        <v>10</v>
      </c>
      <c r="AA68" s="124" t="s">
        <v>10</v>
      </c>
      <c r="AB68" s="124" t="s">
        <v>10</v>
      </c>
      <c r="AC68" s="124" t="s">
        <v>10</v>
      </c>
      <c r="AD68" s="124" t="s">
        <v>10</v>
      </c>
      <c r="AE68" s="127" t="s">
        <v>10</v>
      </c>
      <c r="AF68" s="124" t="s">
        <v>10</v>
      </c>
      <c r="AG68" s="124" t="s">
        <v>10</v>
      </c>
      <c r="AH68" s="124" t="s">
        <v>10</v>
      </c>
      <c r="AI68" s="124" t="s">
        <v>10</v>
      </c>
      <c r="AJ68" s="124" t="s">
        <v>10</v>
      </c>
      <c r="AK68" s="124" t="s">
        <v>10</v>
      </c>
      <c r="AL68" s="124" t="s">
        <v>10</v>
      </c>
      <c r="AM68" s="124" t="s">
        <v>10</v>
      </c>
      <c r="AN68" s="124" t="s">
        <v>10</v>
      </c>
      <c r="AO68" s="124" t="s">
        <v>10</v>
      </c>
      <c r="AP68" s="124" t="s">
        <v>10</v>
      </c>
      <c r="AQ68" s="127" t="s">
        <v>10</v>
      </c>
    </row>
    <row r="69" spans="2:43" x14ac:dyDescent="0.3">
      <c r="B69" s="125" t="s">
        <v>11</v>
      </c>
      <c r="C69" s="398"/>
      <c r="D69" s="238">
        <f>1/$C$12*D12*$L$21*D31</f>
        <v>0.50659153005464475</v>
      </c>
      <c r="E69" s="124">
        <f>1/$C$12*E12*$L$21*E31</f>
        <v>0.22377049180327868</v>
      </c>
      <c r="F69" s="124">
        <f>1/$C$12*F12*$L$21*F31</f>
        <v>0.13510928961748633</v>
      </c>
      <c r="G69" s="241">
        <f>1/$C$12*G12*$L$21*G31</f>
        <v>0.38333333333333336</v>
      </c>
      <c r="H69" s="238">
        <f t="shared" ref="H69:S69" si="50">1/$C$12*H12*$M$21*H31</f>
        <v>0.24774590163934426</v>
      </c>
      <c r="I69" s="124">
        <f t="shared" si="50"/>
        <v>0.17352459016393443</v>
      </c>
      <c r="J69" s="124">
        <f t="shared" si="50"/>
        <v>0.18676229508196721</v>
      </c>
      <c r="K69" s="124">
        <f t="shared" si="50"/>
        <v>0.1069672131147541</v>
      </c>
      <c r="L69" s="124">
        <f t="shared" si="50"/>
        <v>8.8934426229508187E-2</v>
      </c>
      <c r="M69" s="124">
        <f t="shared" si="50"/>
        <v>7.3770491803278687E-2</v>
      </c>
      <c r="N69" s="124">
        <f t="shared" si="50"/>
        <v>3.3032786885245906E-2</v>
      </c>
      <c r="O69" s="124">
        <f t="shared" si="50"/>
        <v>3.4303278688524591E-2</v>
      </c>
      <c r="P69" s="124">
        <f t="shared" si="50"/>
        <v>9.4672131147540986E-2</v>
      </c>
      <c r="Q69" s="124">
        <f t="shared" si="50"/>
        <v>0.13721311475409836</v>
      </c>
      <c r="R69" s="124">
        <f t="shared" si="50"/>
        <v>0.14754098360655737</v>
      </c>
      <c r="S69" s="241">
        <f t="shared" si="50"/>
        <v>0.17405737704918034</v>
      </c>
      <c r="T69" s="238">
        <f t="shared" ref="T69:AE69" si="51">1/$C$12*$N$21*T31</f>
        <v>1.5983606557377048E-2</v>
      </c>
      <c r="U69" s="124">
        <f t="shared" si="51"/>
        <v>1.1967213114754099E-2</v>
      </c>
      <c r="V69" s="124">
        <f t="shared" si="51"/>
        <v>1.2049180327868853E-2</v>
      </c>
      <c r="W69" s="124">
        <f t="shared" si="51"/>
        <v>7.1311475409836069E-3</v>
      </c>
      <c r="X69" s="124">
        <f t="shared" si="51"/>
        <v>5.7377049180327867E-3</v>
      </c>
      <c r="Y69" s="124">
        <f t="shared" si="51"/>
        <v>4.9180327868852463E-3</v>
      </c>
      <c r="Z69" s="124">
        <f t="shared" si="51"/>
        <v>2.1311475409836068E-3</v>
      </c>
      <c r="AA69" s="124">
        <f t="shared" si="51"/>
        <v>2.213114754098361E-3</v>
      </c>
      <c r="AB69" s="124">
        <f t="shared" si="51"/>
        <v>6.3114754098360657E-3</v>
      </c>
      <c r="AC69" s="124">
        <f t="shared" si="51"/>
        <v>8.8524590163934439E-3</v>
      </c>
      <c r="AD69" s="124">
        <f t="shared" si="51"/>
        <v>9.8360655737704927E-3</v>
      </c>
      <c r="AE69" s="127">
        <f t="shared" si="51"/>
        <v>1.1229508196721314E-2</v>
      </c>
      <c r="AF69" s="124">
        <f>T69</f>
        <v>1.5983606557377048E-2</v>
      </c>
      <c r="AG69" s="124">
        <f t="shared" ref="AG69:AQ69" si="52">U69</f>
        <v>1.1967213114754099E-2</v>
      </c>
      <c r="AH69" s="124">
        <f t="shared" si="52"/>
        <v>1.2049180327868853E-2</v>
      </c>
      <c r="AI69" s="124">
        <f t="shared" si="52"/>
        <v>7.1311475409836069E-3</v>
      </c>
      <c r="AJ69" s="124">
        <f t="shared" si="52"/>
        <v>5.7377049180327867E-3</v>
      </c>
      <c r="AK69" s="124">
        <f t="shared" si="52"/>
        <v>4.9180327868852463E-3</v>
      </c>
      <c r="AL69" s="124">
        <f t="shared" si="52"/>
        <v>2.1311475409836068E-3</v>
      </c>
      <c r="AM69" s="124">
        <f t="shared" si="52"/>
        <v>2.213114754098361E-3</v>
      </c>
      <c r="AN69" s="124">
        <f t="shared" si="52"/>
        <v>6.3114754098360657E-3</v>
      </c>
      <c r="AO69" s="124">
        <f t="shared" si="52"/>
        <v>8.8524590163934439E-3</v>
      </c>
      <c r="AP69" s="124">
        <f t="shared" si="52"/>
        <v>9.8360655737704927E-3</v>
      </c>
      <c r="AQ69" s="127">
        <f t="shared" si="52"/>
        <v>1.1229508196721314E-2</v>
      </c>
    </row>
    <row r="70" spans="2:43" x14ac:dyDescent="0.3">
      <c r="B70" s="128" t="s">
        <v>93</v>
      </c>
      <c r="C70" s="247">
        <f>ROUND('Tariffs_ref. prices until 2023'!F96,2)</f>
        <v>142.77000000000001</v>
      </c>
      <c r="D70" s="239">
        <f t="shared" ref="D70:AQ70" si="53">$C$70*D65</f>
        <v>39.04720491803279</v>
      </c>
      <c r="E70" s="104">
        <f t="shared" si="53"/>
        <v>39.04720491803279</v>
      </c>
      <c r="F70" s="104">
        <f t="shared" si="53"/>
        <v>39.476295081967223</v>
      </c>
      <c r="G70" s="242">
        <f t="shared" si="53"/>
        <v>39.476295081967223</v>
      </c>
      <c r="H70" s="239">
        <f t="shared" si="53"/>
        <v>15.115676229508196</v>
      </c>
      <c r="I70" s="104">
        <f>$C$70*I65</f>
        <v>14.140471311475411</v>
      </c>
      <c r="J70" s="104">
        <f t="shared" si="53"/>
        <v>15.115676229508196</v>
      </c>
      <c r="K70" s="104">
        <f t="shared" si="53"/>
        <v>14.628073770491802</v>
      </c>
      <c r="L70" s="104">
        <f t="shared" si="53"/>
        <v>15.115676229508196</v>
      </c>
      <c r="M70" s="104">
        <f t="shared" si="53"/>
        <v>14.628073770491802</v>
      </c>
      <c r="N70" s="104">
        <f t="shared" si="53"/>
        <v>15.115676229508196</v>
      </c>
      <c r="O70" s="104">
        <f t="shared" si="53"/>
        <v>15.115676229508196</v>
      </c>
      <c r="P70" s="104">
        <f t="shared" si="53"/>
        <v>14.628073770491802</v>
      </c>
      <c r="Q70" s="104">
        <f t="shared" si="53"/>
        <v>15.115676229508196</v>
      </c>
      <c r="R70" s="104">
        <f t="shared" si="53"/>
        <v>14.628073770491802</v>
      </c>
      <c r="S70" s="242">
        <f t="shared" si="53"/>
        <v>15.115676229508196</v>
      </c>
      <c r="T70" s="239">
        <f t="shared" si="53"/>
        <v>0.58512295081967225</v>
      </c>
      <c r="U70" s="104">
        <f t="shared" si="53"/>
        <v>0.58512295081967225</v>
      </c>
      <c r="V70" s="104">
        <f t="shared" si="53"/>
        <v>0.58512295081967225</v>
      </c>
      <c r="W70" s="104">
        <f t="shared" si="53"/>
        <v>0.58512295081967225</v>
      </c>
      <c r="X70" s="104">
        <f t="shared" si="53"/>
        <v>0.58512295081967225</v>
      </c>
      <c r="Y70" s="104">
        <f t="shared" si="53"/>
        <v>0.58512295081967225</v>
      </c>
      <c r="Z70" s="104">
        <f t="shared" si="53"/>
        <v>0.58512295081967225</v>
      </c>
      <c r="AA70" s="104">
        <f t="shared" si="53"/>
        <v>0.58512295081967225</v>
      </c>
      <c r="AB70" s="104">
        <f t="shared" si="53"/>
        <v>0.58512295081967225</v>
      </c>
      <c r="AC70" s="104">
        <f t="shared" si="53"/>
        <v>0.58512295081967225</v>
      </c>
      <c r="AD70" s="104">
        <f t="shared" si="53"/>
        <v>0.58512295081967225</v>
      </c>
      <c r="AE70" s="129">
        <f t="shared" si="53"/>
        <v>0.58512295081967225</v>
      </c>
      <c r="AF70" s="104">
        <f t="shared" si="53"/>
        <v>0.58512295081967225</v>
      </c>
      <c r="AG70" s="104">
        <f t="shared" si="53"/>
        <v>0.58512295081967225</v>
      </c>
      <c r="AH70" s="104">
        <f t="shared" si="53"/>
        <v>0.58512295081967225</v>
      </c>
      <c r="AI70" s="104">
        <f t="shared" si="53"/>
        <v>0.58512295081967225</v>
      </c>
      <c r="AJ70" s="104">
        <f t="shared" si="53"/>
        <v>0.58512295081967225</v>
      </c>
      <c r="AK70" s="104">
        <f t="shared" si="53"/>
        <v>0.58512295081967225</v>
      </c>
      <c r="AL70" s="104">
        <f t="shared" si="53"/>
        <v>0.58512295081967225</v>
      </c>
      <c r="AM70" s="104">
        <f t="shared" si="53"/>
        <v>0.58512295081967225</v>
      </c>
      <c r="AN70" s="104">
        <f t="shared" si="53"/>
        <v>0.58512295081967225</v>
      </c>
      <c r="AO70" s="104">
        <f t="shared" si="53"/>
        <v>0.58512295081967225</v>
      </c>
      <c r="AP70" s="104">
        <f t="shared" si="53"/>
        <v>0.58512295081967225</v>
      </c>
      <c r="AQ70" s="129">
        <f t="shared" si="53"/>
        <v>0.58512295081967225</v>
      </c>
    </row>
    <row r="71" spans="2:43" x14ac:dyDescent="0.3">
      <c r="B71" s="128" t="s">
        <v>138</v>
      </c>
      <c r="C71" s="247">
        <f>ROUND('Tariffs_ref. prices until 2023'!F97,2)</f>
        <v>35.96</v>
      </c>
      <c r="D71" s="239">
        <f t="shared" ref="D71:AQ71" si="54">$C$71*D65</f>
        <v>9.8349617486338801</v>
      </c>
      <c r="E71" s="104">
        <f t="shared" si="54"/>
        <v>9.8349617486338801</v>
      </c>
      <c r="F71" s="104">
        <f>$C$71*F65</f>
        <v>9.9430382513661222</v>
      </c>
      <c r="G71" s="242">
        <f t="shared" si="54"/>
        <v>9.9430382513661222</v>
      </c>
      <c r="H71" s="239">
        <f t="shared" si="54"/>
        <v>3.8072404371584696</v>
      </c>
      <c r="I71" s="104">
        <f t="shared" si="54"/>
        <v>3.5616120218579237</v>
      </c>
      <c r="J71" s="104">
        <f t="shared" si="54"/>
        <v>3.8072404371584696</v>
      </c>
      <c r="K71" s="104">
        <f t="shared" si="54"/>
        <v>3.6844262295081962</v>
      </c>
      <c r="L71" s="104">
        <f t="shared" si="54"/>
        <v>3.8072404371584696</v>
      </c>
      <c r="M71" s="104">
        <f t="shared" si="54"/>
        <v>3.6844262295081962</v>
      </c>
      <c r="N71" s="104">
        <f t="shared" si="54"/>
        <v>3.8072404371584696</v>
      </c>
      <c r="O71" s="104">
        <f t="shared" si="54"/>
        <v>3.8072404371584696</v>
      </c>
      <c r="P71" s="104">
        <f t="shared" si="54"/>
        <v>3.6844262295081962</v>
      </c>
      <c r="Q71" s="104">
        <f t="shared" si="54"/>
        <v>3.8072404371584696</v>
      </c>
      <c r="R71" s="104">
        <f t="shared" si="54"/>
        <v>3.6844262295081962</v>
      </c>
      <c r="S71" s="242">
        <f t="shared" si="54"/>
        <v>3.8072404371584696</v>
      </c>
      <c r="T71" s="239">
        <f t="shared" si="54"/>
        <v>0.14737704918032787</v>
      </c>
      <c r="U71" s="104">
        <f t="shared" si="54"/>
        <v>0.14737704918032787</v>
      </c>
      <c r="V71" s="104">
        <f t="shared" si="54"/>
        <v>0.14737704918032787</v>
      </c>
      <c r="W71" s="104">
        <f t="shared" si="54"/>
        <v>0.14737704918032787</v>
      </c>
      <c r="X71" s="104">
        <f t="shared" si="54"/>
        <v>0.14737704918032787</v>
      </c>
      <c r="Y71" s="104">
        <f t="shared" si="54"/>
        <v>0.14737704918032787</v>
      </c>
      <c r="Z71" s="104">
        <f t="shared" si="54"/>
        <v>0.14737704918032787</v>
      </c>
      <c r="AA71" s="104">
        <f t="shared" si="54"/>
        <v>0.14737704918032787</v>
      </c>
      <c r="AB71" s="104">
        <f t="shared" si="54"/>
        <v>0.14737704918032787</v>
      </c>
      <c r="AC71" s="104">
        <f t="shared" si="54"/>
        <v>0.14737704918032787</v>
      </c>
      <c r="AD71" s="104">
        <f t="shared" si="54"/>
        <v>0.14737704918032787</v>
      </c>
      <c r="AE71" s="129">
        <f t="shared" si="54"/>
        <v>0.14737704918032787</v>
      </c>
      <c r="AF71" s="104">
        <f t="shared" si="54"/>
        <v>0.14737704918032787</v>
      </c>
      <c r="AG71" s="104">
        <f t="shared" si="54"/>
        <v>0.14737704918032787</v>
      </c>
      <c r="AH71" s="104">
        <f t="shared" si="54"/>
        <v>0.14737704918032787</v>
      </c>
      <c r="AI71" s="104">
        <f t="shared" si="54"/>
        <v>0.14737704918032787</v>
      </c>
      <c r="AJ71" s="104">
        <f t="shared" si="54"/>
        <v>0.14737704918032787</v>
      </c>
      <c r="AK71" s="104">
        <f t="shared" si="54"/>
        <v>0.14737704918032787</v>
      </c>
      <c r="AL71" s="104">
        <f t="shared" si="54"/>
        <v>0.14737704918032787</v>
      </c>
      <c r="AM71" s="104">
        <f t="shared" si="54"/>
        <v>0.14737704918032787</v>
      </c>
      <c r="AN71" s="104">
        <f t="shared" si="54"/>
        <v>0.14737704918032787</v>
      </c>
      <c r="AO71" s="104">
        <f t="shared" si="54"/>
        <v>0.14737704918032787</v>
      </c>
      <c r="AP71" s="104">
        <f t="shared" si="54"/>
        <v>0.14737704918032787</v>
      </c>
      <c r="AQ71" s="129">
        <f t="shared" si="54"/>
        <v>0.14737704918032787</v>
      </c>
    </row>
    <row r="72" spans="2:43" x14ac:dyDescent="0.3">
      <c r="B72" s="128" t="s">
        <v>94</v>
      </c>
      <c r="C72" s="247">
        <f>ROUND('Tariffs_ref. prices until 2023'!F98,2)</f>
        <v>142.77000000000001</v>
      </c>
      <c r="D72" s="239">
        <f t="shared" ref="D72:AQ72" si="55">$C$72*D65</f>
        <v>39.04720491803279</v>
      </c>
      <c r="E72" s="104">
        <f t="shared" si="55"/>
        <v>39.04720491803279</v>
      </c>
      <c r="F72" s="104">
        <f t="shared" si="55"/>
        <v>39.476295081967223</v>
      </c>
      <c r="G72" s="242">
        <f t="shared" si="55"/>
        <v>39.476295081967223</v>
      </c>
      <c r="H72" s="239">
        <f t="shared" si="55"/>
        <v>15.115676229508196</v>
      </c>
      <c r="I72" s="104">
        <f t="shared" si="55"/>
        <v>14.140471311475411</v>
      </c>
      <c r="J72" s="104">
        <f t="shared" si="55"/>
        <v>15.115676229508196</v>
      </c>
      <c r="K72" s="104">
        <f t="shared" si="55"/>
        <v>14.628073770491802</v>
      </c>
      <c r="L72" s="104">
        <f t="shared" si="55"/>
        <v>15.115676229508196</v>
      </c>
      <c r="M72" s="104">
        <f t="shared" si="55"/>
        <v>14.628073770491802</v>
      </c>
      <c r="N72" s="104">
        <f t="shared" si="55"/>
        <v>15.115676229508196</v>
      </c>
      <c r="O72" s="104">
        <f t="shared" si="55"/>
        <v>15.115676229508196</v>
      </c>
      <c r="P72" s="104">
        <f t="shared" si="55"/>
        <v>14.628073770491802</v>
      </c>
      <c r="Q72" s="104">
        <f t="shared" si="55"/>
        <v>15.115676229508196</v>
      </c>
      <c r="R72" s="104">
        <f t="shared" si="55"/>
        <v>14.628073770491802</v>
      </c>
      <c r="S72" s="242">
        <f t="shared" si="55"/>
        <v>15.115676229508196</v>
      </c>
      <c r="T72" s="239">
        <f t="shared" si="55"/>
        <v>0.58512295081967225</v>
      </c>
      <c r="U72" s="104">
        <f t="shared" si="55"/>
        <v>0.58512295081967225</v>
      </c>
      <c r="V72" s="104">
        <f t="shared" si="55"/>
        <v>0.58512295081967225</v>
      </c>
      <c r="W72" s="104">
        <f t="shared" si="55"/>
        <v>0.58512295081967225</v>
      </c>
      <c r="X72" s="104">
        <f t="shared" si="55"/>
        <v>0.58512295081967225</v>
      </c>
      <c r="Y72" s="104">
        <f t="shared" si="55"/>
        <v>0.58512295081967225</v>
      </c>
      <c r="Z72" s="104">
        <f t="shared" si="55"/>
        <v>0.58512295081967225</v>
      </c>
      <c r="AA72" s="104">
        <f t="shared" si="55"/>
        <v>0.58512295081967225</v>
      </c>
      <c r="AB72" s="104">
        <f t="shared" si="55"/>
        <v>0.58512295081967225</v>
      </c>
      <c r="AC72" s="104">
        <f t="shared" si="55"/>
        <v>0.58512295081967225</v>
      </c>
      <c r="AD72" s="104">
        <f t="shared" si="55"/>
        <v>0.58512295081967225</v>
      </c>
      <c r="AE72" s="129">
        <f t="shared" si="55"/>
        <v>0.58512295081967225</v>
      </c>
      <c r="AF72" s="104">
        <f t="shared" si="55"/>
        <v>0.58512295081967225</v>
      </c>
      <c r="AG72" s="104">
        <f t="shared" si="55"/>
        <v>0.58512295081967225</v>
      </c>
      <c r="AH72" s="104">
        <f t="shared" si="55"/>
        <v>0.58512295081967225</v>
      </c>
      <c r="AI72" s="104">
        <f t="shared" si="55"/>
        <v>0.58512295081967225</v>
      </c>
      <c r="AJ72" s="104">
        <f t="shared" si="55"/>
        <v>0.58512295081967225</v>
      </c>
      <c r="AK72" s="104">
        <f t="shared" si="55"/>
        <v>0.58512295081967225</v>
      </c>
      <c r="AL72" s="104">
        <f t="shared" si="55"/>
        <v>0.58512295081967225</v>
      </c>
      <c r="AM72" s="104">
        <f t="shared" si="55"/>
        <v>0.58512295081967225</v>
      </c>
      <c r="AN72" s="104">
        <f t="shared" si="55"/>
        <v>0.58512295081967225</v>
      </c>
      <c r="AO72" s="104">
        <f t="shared" si="55"/>
        <v>0.58512295081967225</v>
      </c>
      <c r="AP72" s="104">
        <f t="shared" si="55"/>
        <v>0.58512295081967225</v>
      </c>
      <c r="AQ72" s="129">
        <f t="shared" si="55"/>
        <v>0.58512295081967225</v>
      </c>
    </row>
    <row r="73" spans="2:43" x14ac:dyDescent="0.3">
      <c r="B73" s="128" t="s">
        <v>95</v>
      </c>
      <c r="C73" s="247">
        <f>ROUND('Tariffs_ref. prices until 2023'!F99,2)</f>
        <v>35.69</v>
      </c>
      <c r="D73" s="239">
        <f t="shared" ref="D73:AQ73" si="56">$C$73*D65</f>
        <v>9.7611174863387973</v>
      </c>
      <c r="E73" s="104">
        <f t="shared" si="56"/>
        <v>9.7611174863387973</v>
      </c>
      <c r="F73" s="104">
        <f t="shared" si="56"/>
        <v>9.8683825136612029</v>
      </c>
      <c r="G73" s="242">
        <f t="shared" si="56"/>
        <v>9.8683825136612029</v>
      </c>
      <c r="H73" s="239">
        <f t="shared" si="56"/>
        <v>3.778654371584699</v>
      </c>
      <c r="I73" s="104">
        <f t="shared" si="56"/>
        <v>3.5348702185792349</v>
      </c>
      <c r="J73" s="104">
        <f t="shared" si="56"/>
        <v>3.778654371584699</v>
      </c>
      <c r="K73" s="104">
        <f t="shared" si="56"/>
        <v>3.6567622950819665</v>
      </c>
      <c r="L73" s="104">
        <f>$C$73*L65</f>
        <v>3.778654371584699</v>
      </c>
      <c r="M73" s="104">
        <f t="shared" si="56"/>
        <v>3.6567622950819665</v>
      </c>
      <c r="N73" s="104">
        <f t="shared" si="56"/>
        <v>3.778654371584699</v>
      </c>
      <c r="O73" s="104">
        <f t="shared" si="56"/>
        <v>3.778654371584699</v>
      </c>
      <c r="P73" s="104">
        <f t="shared" si="56"/>
        <v>3.6567622950819665</v>
      </c>
      <c r="Q73" s="104">
        <f t="shared" si="56"/>
        <v>3.778654371584699</v>
      </c>
      <c r="R73" s="104">
        <f t="shared" si="56"/>
        <v>3.6567622950819665</v>
      </c>
      <c r="S73" s="242">
        <f t="shared" si="56"/>
        <v>3.778654371584699</v>
      </c>
      <c r="T73" s="239">
        <f t="shared" si="56"/>
        <v>0.1462704918032787</v>
      </c>
      <c r="U73" s="104">
        <f t="shared" si="56"/>
        <v>0.1462704918032787</v>
      </c>
      <c r="V73" s="104">
        <f>$C$73*V65</f>
        <v>0.1462704918032787</v>
      </c>
      <c r="W73" s="104">
        <f t="shared" si="56"/>
        <v>0.1462704918032787</v>
      </c>
      <c r="X73" s="104">
        <f t="shared" si="56"/>
        <v>0.1462704918032787</v>
      </c>
      <c r="Y73" s="104">
        <f t="shared" si="56"/>
        <v>0.1462704918032787</v>
      </c>
      <c r="Z73" s="104">
        <f t="shared" si="56"/>
        <v>0.1462704918032787</v>
      </c>
      <c r="AA73" s="104">
        <f t="shared" si="56"/>
        <v>0.1462704918032787</v>
      </c>
      <c r="AB73" s="104">
        <f t="shared" si="56"/>
        <v>0.1462704918032787</v>
      </c>
      <c r="AC73" s="104">
        <f t="shared" si="56"/>
        <v>0.1462704918032787</v>
      </c>
      <c r="AD73" s="104">
        <f t="shared" si="56"/>
        <v>0.1462704918032787</v>
      </c>
      <c r="AE73" s="129">
        <f t="shared" si="56"/>
        <v>0.1462704918032787</v>
      </c>
      <c r="AF73" s="104">
        <f t="shared" si="56"/>
        <v>0.1462704918032787</v>
      </c>
      <c r="AG73" s="104">
        <f t="shared" si="56"/>
        <v>0.1462704918032787</v>
      </c>
      <c r="AH73" s="104">
        <f t="shared" si="56"/>
        <v>0.1462704918032787</v>
      </c>
      <c r="AI73" s="104">
        <f t="shared" si="56"/>
        <v>0.1462704918032787</v>
      </c>
      <c r="AJ73" s="104">
        <f t="shared" si="56"/>
        <v>0.1462704918032787</v>
      </c>
      <c r="AK73" s="104">
        <f t="shared" si="56"/>
        <v>0.1462704918032787</v>
      </c>
      <c r="AL73" s="104">
        <f t="shared" si="56"/>
        <v>0.1462704918032787</v>
      </c>
      <c r="AM73" s="104">
        <f t="shared" si="56"/>
        <v>0.1462704918032787</v>
      </c>
      <c r="AN73" s="104">
        <f t="shared" si="56"/>
        <v>0.1462704918032787</v>
      </c>
      <c r="AO73" s="104">
        <f t="shared" si="56"/>
        <v>0.1462704918032787</v>
      </c>
      <c r="AP73" s="104">
        <f t="shared" si="56"/>
        <v>0.1462704918032787</v>
      </c>
      <c r="AQ73" s="129">
        <f t="shared" si="56"/>
        <v>0.1462704918032787</v>
      </c>
    </row>
    <row r="74" spans="2:43" x14ac:dyDescent="0.3">
      <c r="B74" s="318" t="s">
        <v>167</v>
      </c>
      <c r="C74" s="247" t="s">
        <v>10</v>
      </c>
      <c r="D74" s="239" t="s">
        <v>10</v>
      </c>
      <c r="E74" s="104" t="s">
        <v>10</v>
      </c>
      <c r="F74" s="104" t="s">
        <v>10</v>
      </c>
      <c r="G74" s="242" t="s">
        <v>10</v>
      </c>
      <c r="H74" s="239" t="s">
        <v>10</v>
      </c>
      <c r="I74" s="104" t="s">
        <v>10</v>
      </c>
      <c r="J74" s="104" t="s">
        <v>10</v>
      </c>
      <c r="K74" s="104" t="s">
        <v>10</v>
      </c>
      <c r="L74" s="104" t="s">
        <v>10</v>
      </c>
      <c r="M74" s="104" t="s">
        <v>10</v>
      </c>
      <c r="N74" s="104" t="s">
        <v>10</v>
      </c>
      <c r="O74" s="104" t="s">
        <v>10</v>
      </c>
      <c r="P74" s="104" t="s">
        <v>10</v>
      </c>
      <c r="Q74" s="104" t="s">
        <v>10</v>
      </c>
      <c r="R74" s="104" t="s">
        <v>10</v>
      </c>
      <c r="S74" s="242" t="s">
        <v>10</v>
      </c>
      <c r="T74" s="239" t="s">
        <v>10</v>
      </c>
      <c r="U74" s="104" t="s">
        <v>10</v>
      </c>
      <c r="V74" s="104" t="s">
        <v>10</v>
      </c>
      <c r="W74" s="104" t="s">
        <v>10</v>
      </c>
      <c r="X74" s="104" t="s">
        <v>10</v>
      </c>
      <c r="Y74" s="104" t="s">
        <v>10</v>
      </c>
      <c r="Z74" s="104" t="s">
        <v>10</v>
      </c>
      <c r="AA74" s="104" t="s">
        <v>10</v>
      </c>
      <c r="AB74" s="104" t="s">
        <v>10</v>
      </c>
      <c r="AC74" s="104" t="s">
        <v>10</v>
      </c>
      <c r="AD74" s="104" t="s">
        <v>10</v>
      </c>
      <c r="AE74" s="129" t="s">
        <v>10</v>
      </c>
      <c r="AF74" s="104" t="s">
        <v>10</v>
      </c>
      <c r="AG74" s="104" t="s">
        <v>10</v>
      </c>
      <c r="AH74" s="104" t="s">
        <v>10</v>
      </c>
      <c r="AI74" s="104" t="s">
        <v>10</v>
      </c>
      <c r="AJ74" s="104" t="s">
        <v>10</v>
      </c>
      <c r="AK74" s="104" t="s">
        <v>10</v>
      </c>
      <c r="AL74" s="104" t="s">
        <v>10</v>
      </c>
      <c r="AM74" s="104" t="s">
        <v>10</v>
      </c>
      <c r="AN74" s="104" t="s">
        <v>10</v>
      </c>
      <c r="AO74" s="104" t="s">
        <v>10</v>
      </c>
      <c r="AP74" s="104" t="s">
        <v>10</v>
      </c>
      <c r="AQ74" s="129" t="s">
        <v>10</v>
      </c>
    </row>
    <row r="75" spans="2:43" x14ac:dyDescent="0.3">
      <c r="B75" s="128" t="s">
        <v>96</v>
      </c>
      <c r="C75" s="247">
        <f>ROUND('Tariffs_ref. prices until 2023'!F101,2)</f>
        <v>88.73</v>
      </c>
      <c r="D75" s="239">
        <f t="shared" ref="D75:AQ75" si="57">$C$75*D66</f>
        <v>24.267412568306014</v>
      </c>
      <c r="E75" s="104">
        <f t="shared" si="57"/>
        <v>24.267412568306014</v>
      </c>
      <c r="F75" s="104">
        <f t="shared" si="57"/>
        <v>24.534087431693994</v>
      </c>
      <c r="G75" s="242">
        <f t="shared" si="57"/>
        <v>24.534087431693994</v>
      </c>
      <c r="H75" s="239">
        <f t="shared" si="57"/>
        <v>9.3942281420765017</v>
      </c>
      <c r="I75" s="104">
        <f t="shared" si="57"/>
        <v>8.7881489071038246</v>
      </c>
      <c r="J75" s="104">
        <f t="shared" si="57"/>
        <v>9.3942281420765017</v>
      </c>
      <c r="K75" s="104">
        <f t="shared" si="57"/>
        <v>9.091188524590164</v>
      </c>
      <c r="L75" s="104">
        <f t="shared" si="57"/>
        <v>9.3942281420765017</v>
      </c>
      <c r="M75" s="104">
        <f t="shared" si="57"/>
        <v>9.091188524590164</v>
      </c>
      <c r="N75" s="104">
        <f t="shared" si="57"/>
        <v>9.3942281420765017</v>
      </c>
      <c r="O75" s="104">
        <f t="shared" si="57"/>
        <v>9.3942281420765017</v>
      </c>
      <c r="P75" s="104">
        <f t="shared" si="57"/>
        <v>9.091188524590164</v>
      </c>
      <c r="Q75" s="104">
        <f t="shared" si="57"/>
        <v>9.3942281420765017</v>
      </c>
      <c r="R75" s="104">
        <f t="shared" si="57"/>
        <v>9.091188524590164</v>
      </c>
      <c r="S75" s="242">
        <f t="shared" si="57"/>
        <v>9.3942281420765017</v>
      </c>
      <c r="T75" s="239">
        <f t="shared" si="57"/>
        <v>0.36364754098360658</v>
      </c>
      <c r="U75" s="104">
        <f t="shared" si="57"/>
        <v>0.36364754098360658</v>
      </c>
      <c r="V75" s="104">
        <f t="shared" si="57"/>
        <v>0.36364754098360658</v>
      </c>
      <c r="W75" s="104">
        <f t="shared" si="57"/>
        <v>0.36364754098360658</v>
      </c>
      <c r="X75" s="104">
        <f t="shared" si="57"/>
        <v>0.36364754098360658</v>
      </c>
      <c r="Y75" s="104">
        <f t="shared" si="57"/>
        <v>0.36364754098360658</v>
      </c>
      <c r="Z75" s="104">
        <f t="shared" si="57"/>
        <v>0.36364754098360658</v>
      </c>
      <c r="AA75" s="104">
        <f t="shared" si="57"/>
        <v>0.36364754098360658</v>
      </c>
      <c r="AB75" s="104">
        <f t="shared" si="57"/>
        <v>0.36364754098360658</v>
      </c>
      <c r="AC75" s="104">
        <f t="shared" si="57"/>
        <v>0.36364754098360658</v>
      </c>
      <c r="AD75" s="104">
        <f t="shared" si="57"/>
        <v>0.36364754098360658</v>
      </c>
      <c r="AE75" s="129">
        <f t="shared" si="57"/>
        <v>0.36364754098360658</v>
      </c>
      <c r="AF75" s="104">
        <f t="shared" si="57"/>
        <v>0.36364754098360658</v>
      </c>
      <c r="AG75" s="104">
        <f t="shared" si="57"/>
        <v>0.36364754098360658</v>
      </c>
      <c r="AH75" s="104">
        <f t="shared" si="57"/>
        <v>0.36364754098360658</v>
      </c>
      <c r="AI75" s="104">
        <f t="shared" si="57"/>
        <v>0.36364754098360658</v>
      </c>
      <c r="AJ75" s="104">
        <f t="shared" si="57"/>
        <v>0.36364754098360658</v>
      </c>
      <c r="AK75" s="104">
        <f t="shared" si="57"/>
        <v>0.36364754098360658</v>
      </c>
      <c r="AL75" s="104">
        <f t="shared" si="57"/>
        <v>0.36364754098360658</v>
      </c>
      <c r="AM75" s="104">
        <f t="shared" si="57"/>
        <v>0.36364754098360658</v>
      </c>
      <c r="AN75" s="104">
        <f t="shared" si="57"/>
        <v>0.36364754098360658</v>
      </c>
      <c r="AO75" s="104">
        <f t="shared" si="57"/>
        <v>0.36364754098360658</v>
      </c>
      <c r="AP75" s="104">
        <f t="shared" si="57"/>
        <v>0.36364754098360658</v>
      </c>
      <c r="AQ75" s="129">
        <f t="shared" si="57"/>
        <v>0.36364754098360658</v>
      </c>
    </row>
    <row r="76" spans="2:43" x14ac:dyDescent="0.3">
      <c r="B76" s="128" t="s">
        <v>97</v>
      </c>
      <c r="C76" s="247">
        <f>ROUND('Tariffs_ref. prices until 2023'!F102,2)</f>
        <v>39.4</v>
      </c>
      <c r="D76" s="239">
        <f t="shared" ref="D76:AQ76" si="58">$C$76*D67</f>
        <v>19.469897540983606</v>
      </c>
      <c r="E76" s="104">
        <f t="shared" si="58"/>
        <v>8.0818442622950819</v>
      </c>
      <c r="F76" s="104">
        <f t="shared" si="58"/>
        <v>8.0468579234972673</v>
      </c>
      <c r="G76" s="242">
        <f t="shared" si="58"/>
        <v>13.617759562841531</v>
      </c>
      <c r="H76" s="239">
        <f t="shared" si="58"/>
        <v>8.1593524590163931</v>
      </c>
      <c r="I76" s="104">
        <f t="shared" si="58"/>
        <v>6.7900409836065565</v>
      </c>
      <c r="J76" s="104">
        <f t="shared" si="58"/>
        <v>8.5097540983606557</v>
      </c>
      <c r="K76" s="104">
        <f t="shared" si="58"/>
        <v>3.5847540983606554</v>
      </c>
      <c r="L76" s="104">
        <f t="shared" si="58"/>
        <v>2.953385245901639</v>
      </c>
      <c r="M76" s="104">
        <f t="shared" si="58"/>
        <v>3.1487704918032788</v>
      </c>
      <c r="N76" s="104">
        <f t="shared" si="58"/>
        <v>2.152467213114754</v>
      </c>
      <c r="O76" s="104">
        <f t="shared" si="58"/>
        <v>3.3538442622950821</v>
      </c>
      <c r="P76" s="104">
        <f t="shared" si="58"/>
        <v>4.0691803278688523</v>
      </c>
      <c r="Q76" s="104">
        <f t="shared" si="58"/>
        <v>5.3060819672131148</v>
      </c>
      <c r="R76" s="104">
        <f t="shared" si="58"/>
        <v>5.5224590163934417</v>
      </c>
      <c r="S76" s="242">
        <f t="shared" si="58"/>
        <v>5.5563688524590171</v>
      </c>
      <c r="T76" s="239">
        <f t="shared" si="58"/>
        <v>0.52640983606557368</v>
      </c>
      <c r="U76" s="104">
        <f t="shared" si="58"/>
        <v>0.46827868852459015</v>
      </c>
      <c r="V76" s="104">
        <f t="shared" si="58"/>
        <v>0.54901639344262299</v>
      </c>
      <c r="W76" s="104">
        <f t="shared" si="58"/>
        <v>0.23898360655737705</v>
      </c>
      <c r="X76" s="104">
        <f t="shared" si="58"/>
        <v>0.19054098360655736</v>
      </c>
      <c r="Y76" s="104">
        <f t="shared" si="58"/>
        <v>0.20991803278688526</v>
      </c>
      <c r="Z76" s="104">
        <f t="shared" si="58"/>
        <v>0.1388688524590164</v>
      </c>
      <c r="AA76" s="104">
        <f t="shared" si="58"/>
        <v>0.21637704918032788</v>
      </c>
      <c r="AB76" s="104">
        <f t="shared" si="58"/>
        <v>0.27127868852459019</v>
      </c>
      <c r="AC76" s="104">
        <f t="shared" si="58"/>
        <v>0.34232786885245903</v>
      </c>
      <c r="AD76" s="104">
        <f t="shared" si="58"/>
        <v>0.36816393442622947</v>
      </c>
      <c r="AE76" s="129">
        <f t="shared" si="58"/>
        <v>0.35847540983606563</v>
      </c>
      <c r="AF76" s="104">
        <f t="shared" si="58"/>
        <v>0.52640983606557368</v>
      </c>
      <c r="AG76" s="104">
        <f t="shared" si="58"/>
        <v>0.46827868852459015</v>
      </c>
      <c r="AH76" s="104">
        <f t="shared" si="58"/>
        <v>0.54901639344262299</v>
      </c>
      <c r="AI76" s="104">
        <f t="shared" si="58"/>
        <v>0.23898360655737705</v>
      </c>
      <c r="AJ76" s="104">
        <f t="shared" si="58"/>
        <v>0.19054098360655736</v>
      </c>
      <c r="AK76" s="104">
        <f t="shared" si="58"/>
        <v>0.20991803278688526</v>
      </c>
      <c r="AL76" s="104">
        <f t="shared" si="58"/>
        <v>0.1388688524590164</v>
      </c>
      <c r="AM76" s="104">
        <f t="shared" si="58"/>
        <v>0.21637704918032788</v>
      </c>
      <c r="AN76" s="104">
        <f t="shared" si="58"/>
        <v>0.27127868852459019</v>
      </c>
      <c r="AO76" s="104">
        <f t="shared" si="58"/>
        <v>0.34232786885245903</v>
      </c>
      <c r="AP76" s="104">
        <f t="shared" si="58"/>
        <v>0.36816393442622947</v>
      </c>
      <c r="AQ76" s="129">
        <f t="shared" si="58"/>
        <v>0.35847540983606563</v>
      </c>
    </row>
    <row r="77" spans="2:43" x14ac:dyDescent="0.3">
      <c r="B77" s="318" t="s">
        <v>168</v>
      </c>
      <c r="C77" s="247" t="s">
        <v>10</v>
      </c>
      <c r="D77" s="239" t="s">
        <v>10</v>
      </c>
      <c r="E77" s="104" t="s">
        <v>10</v>
      </c>
      <c r="F77" s="104" t="s">
        <v>10</v>
      </c>
      <c r="G77" s="242" t="s">
        <v>10</v>
      </c>
      <c r="H77" s="239" t="s">
        <v>10</v>
      </c>
      <c r="I77" s="104" t="s">
        <v>10</v>
      </c>
      <c r="J77" s="104" t="s">
        <v>10</v>
      </c>
      <c r="K77" s="104" t="s">
        <v>10</v>
      </c>
      <c r="L77" s="104" t="s">
        <v>10</v>
      </c>
      <c r="M77" s="104" t="s">
        <v>10</v>
      </c>
      <c r="N77" s="104" t="s">
        <v>10</v>
      </c>
      <c r="O77" s="104" t="s">
        <v>10</v>
      </c>
      <c r="P77" s="104" t="s">
        <v>10</v>
      </c>
      <c r="Q77" s="104" t="s">
        <v>10</v>
      </c>
      <c r="R77" s="104" t="s">
        <v>10</v>
      </c>
      <c r="S77" s="242" t="s">
        <v>10</v>
      </c>
      <c r="T77" s="239" t="s">
        <v>10</v>
      </c>
      <c r="U77" s="104" t="s">
        <v>10</v>
      </c>
      <c r="V77" s="104" t="s">
        <v>10</v>
      </c>
      <c r="W77" s="104" t="s">
        <v>10</v>
      </c>
      <c r="X77" s="104" t="s">
        <v>10</v>
      </c>
      <c r="Y77" s="104" t="s">
        <v>10</v>
      </c>
      <c r="Z77" s="104" t="s">
        <v>10</v>
      </c>
      <c r="AA77" s="104" t="s">
        <v>10</v>
      </c>
      <c r="AB77" s="104" t="s">
        <v>10</v>
      </c>
      <c r="AC77" s="104" t="s">
        <v>10</v>
      </c>
      <c r="AD77" s="104" t="s">
        <v>10</v>
      </c>
      <c r="AE77" s="129" t="s">
        <v>10</v>
      </c>
      <c r="AF77" s="104" t="s">
        <v>10</v>
      </c>
      <c r="AG77" s="104" t="s">
        <v>10</v>
      </c>
      <c r="AH77" s="104" t="s">
        <v>10</v>
      </c>
      <c r="AI77" s="104" t="s">
        <v>10</v>
      </c>
      <c r="AJ77" s="104" t="s">
        <v>10</v>
      </c>
      <c r="AK77" s="104" t="s">
        <v>10</v>
      </c>
      <c r="AL77" s="104" t="s">
        <v>10</v>
      </c>
      <c r="AM77" s="104" t="s">
        <v>10</v>
      </c>
      <c r="AN77" s="104" t="s">
        <v>10</v>
      </c>
      <c r="AO77" s="104" t="s">
        <v>10</v>
      </c>
      <c r="AP77" s="104" t="s">
        <v>10</v>
      </c>
      <c r="AQ77" s="129" t="s">
        <v>10</v>
      </c>
    </row>
    <row r="78" spans="2:43" ht="15" thickBot="1" x14ac:dyDescent="0.35">
      <c r="B78" s="290" t="s">
        <v>98</v>
      </c>
      <c r="C78" s="248">
        <f>ROUND('Tariffs_ref. prices until 2023'!F104,2)</f>
        <v>57.24</v>
      </c>
      <c r="D78" s="243">
        <f>$C$78*D69</f>
        <v>28.997299180327865</v>
      </c>
      <c r="E78" s="130">
        <f t="shared" ref="E78:AE78" si="59">$C$78*E69</f>
        <v>12.808622950819672</v>
      </c>
      <c r="F78" s="130">
        <f t="shared" si="59"/>
        <v>7.7336557377049182</v>
      </c>
      <c r="G78" s="244">
        <f t="shared" si="59"/>
        <v>21.942000000000004</v>
      </c>
      <c r="H78" s="243">
        <f t="shared" si="59"/>
        <v>14.180975409836066</v>
      </c>
      <c r="I78" s="130">
        <f t="shared" si="59"/>
        <v>9.9325475409836077</v>
      </c>
      <c r="J78" s="130">
        <f t="shared" si="59"/>
        <v>10.690273770491803</v>
      </c>
      <c r="K78" s="130">
        <f t="shared" si="59"/>
        <v>6.1228032786885249</v>
      </c>
      <c r="L78" s="130">
        <f t="shared" si="59"/>
        <v>5.0906065573770487</v>
      </c>
      <c r="M78" s="130">
        <f t="shared" si="59"/>
        <v>4.2226229508196722</v>
      </c>
      <c r="N78" s="130">
        <f t="shared" si="59"/>
        <v>1.8907967213114758</v>
      </c>
      <c r="O78" s="130">
        <f t="shared" si="59"/>
        <v>1.9635196721311476</v>
      </c>
      <c r="P78" s="130">
        <f t="shared" si="59"/>
        <v>5.4190327868852464</v>
      </c>
      <c r="Q78" s="130">
        <f t="shared" si="59"/>
        <v>7.8540786885245906</v>
      </c>
      <c r="R78" s="130">
        <f t="shared" si="59"/>
        <v>8.4452459016393444</v>
      </c>
      <c r="S78" s="244">
        <f t="shared" si="59"/>
        <v>9.9630442622950834</v>
      </c>
      <c r="T78" s="243">
        <f t="shared" si="59"/>
        <v>0.91490163934426227</v>
      </c>
      <c r="U78" s="130">
        <f t="shared" si="59"/>
        <v>0.68500327868852473</v>
      </c>
      <c r="V78" s="130">
        <f t="shared" si="59"/>
        <v>0.68969508196721319</v>
      </c>
      <c r="W78" s="130">
        <f t="shared" si="59"/>
        <v>0.40818688524590169</v>
      </c>
      <c r="X78" s="130">
        <f t="shared" si="59"/>
        <v>0.32842622950819672</v>
      </c>
      <c r="Y78" s="130">
        <f t="shared" si="59"/>
        <v>0.2815081967213115</v>
      </c>
      <c r="Z78" s="130">
        <f t="shared" si="59"/>
        <v>0.12198688524590165</v>
      </c>
      <c r="AA78" s="130">
        <f t="shared" si="59"/>
        <v>0.12667868852459019</v>
      </c>
      <c r="AB78" s="130">
        <f t="shared" si="59"/>
        <v>0.36126885245901641</v>
      </c>
      <c r="AC78" s="130">
        <f t="shared" si="59"/>
        <v>0.50671475409836075</v>
      </c>
      <c r="AD78" s="130">
        <f t="shared" si="59"/>
        <v>0.563016393442623</v>
      </c>
      <c r="AE78" s="131">
        <f t="shared" si="59"/>
        <v>0.64277704918032808</v>
      </c>
      <c r="AF78" s="130">
        <f t="shared" ref="AF78:AQ78" si="60">$C$78*AF69</f>
        <v>0.91490163934426227</v>
      </c>
      <c r="AG78" s="130">
        <f t="shared" si="60"/>
        <v>0.68500327868852473</v>
      </c>
      <c r="AH78" s="130">
        <f t="shared" si="60"/>
        <v>0.68969508196721319</v>
      </c>
      <c r="AI78" s="130">
        <f t="shared" si="60"/>
        <v>0.40818688524590169</v>
      </c>
      <c r="AJ78" s="130">
        <f t="shared" si="60"/>
        <v>0.32842622950819672</v>
      </c>
      <c r="AK78" s="130">
        <f t="shared" si="60"/>
        <v>0.2815081967213115</v>
      </c>
      <c r="AL78" s="130">
        <f t="shared" si="60"/>
        <v>0.12198688524590165</v>
      </c>
      <c r="AM78" s="130">
        <f t="shared" si="60"/>
        <v>0.12667868852459019</v>
      </c>
      <c r="AN78" s="130">
        <f t="shared" si="60"/>
        <v>0.36126885245901641</v>
      </c>
      <c r="AO78" s="130">
        <f t="shared" si="60"/>
        <v>0.50671475409836075</v>
      </c>
      <c r="AP78" s="130">
        <f t="shared" si="60"/>
        <v>0.563016393442623</v>
      </c>
      <c r="AQ78" s="131">
        <f t="shared" si="60"/>
        <v>0.64277704918032808</v>
      </c>
    </row>
    <row r="79" spans="2:43" ht="15.6" x14ac:dyDescent="0.3">
      <c r="B79" s="394" t="s">
        <v>159</v>
      </c>
      <c r="C79" s="395"/>
      <c r="D79" s="395"/>
      <c r="E79" s="395"/>
      <c r="F79" s="395"/>
      <c r="G79" s="395"/>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5"/>
      <c r="AP79" s="395"/>
      <c r="AQ79" s="395"/>
    </row>
    <row r="80" spans="2:43" x14ac:dyDescent="0.3">
      <c r="B80" s="132"/>
      <c r="C80" s="396" t="s">
        <v>84</v>
      </c>
      <c r="D80" s="399" t="s">
        <v>82</v>
      </c>
      <c r="E80" s="399"/>
      <c r="F80" s="399"/>
      <c r="G80" s="400"/>
      <c r="H80" s="399" t="s">
        <v>83</v>
      </c>
      <c r="I80" s="399"/>
      <c r="J80" s="399"/>
      <c r="K80" s="399"/>
      <c r="L80" s="399"/>
      <c r="M80" s="399"/>
      <c r="N80" s="399"/>
      <c r="O80" s="399"/>
      <c r="P80" s="399"/>
      <c r="Q80" s="399"/>
      <c r="R80" s="399"/>
      <c r="S80" s="400"/>
      <c r="T80" s="399" t="s">
        <v>91</v>
      </c>
      <c r="U80" s="399"/>
      <c r="V80" s="399"/>
      <c r="W80" s="399"/>
      <c r="X80" s="399"/>
      <c r="Y80" s="399"/>
      <c r="Z80" s="399"/>
      <c r="AA80" s="399"/>
      <c r="AB80" s="399"/>
      <c r="AC80" s="399"/>
      <c r="AD80" s="399"/>
      <c r="AE80" s="401"/>
      <c r="AF80" s="402" t="s">
        <v>92</v>
      </c>
      <c r="AG80" s="399"/>
      <c r="AH80" s="399"/>
      <c r="AI80" s="399"/>
      <c r="AJ80" s="399"/>
      <c r="AK80" s="399"/>
      <c r="AL80" s="399"/>
      <c r="AM80" s="399"/>
      <c r="AN80" s="399"/>
      <c r="AO80" s="399"/>
      <c r="AP80" s="399"/>
      <c r="AQ80" s="401"/>
    </row>
    <row r="81" spans="2:43" x14ac:dyDescent="0.3">
      <c r="B81" s="125" t="s">
        <v>81</v>
      </c>
      <c r="C81" s="397"/>
      <c r="D81" s="312" t="s">
        <v>39</v>
      </c>
      <c r="E81" s="313" t="s">
        <v>40</v>
      </c>
      <c r="F81" s="313" t="s">
        <v>41</v>
      </c>
      <c r="G81" s="240" t="s">
        <v>42</v>
      </c>
      <c r="H81" s="312" t="s">
        <v>24</v>
      </c>
      <c r="I81" s="313" t="s">
        <v>25</v>
      </c>
      <c r="J81" s="313" t="s">
        <v>26</v>
      </c>
      <c r="K81" s="313" t="s">
        <v>27</v>
      </c>
      <c r="L81" s="313" t="s">
        <v>17</v>
      </c>
      <c r="M81" s="313" t="s">
        <v>28</v>
      </c>
      <c r="N81" s="313" t="s">
        <v>29</v>
      </c>
      <c r="O81" s="313" t="s">
        <v>30</v>
      </c>
      <c r="P81" s="313" t="s">
        <v>31</v>
      </c>
      <c r="Q81" s="313" t="s">
        <v>32</v>
      </c>
      <c r="R81" s="313" t="s">
        <v>33</v>
      </c>
      <c r="S81" s="240" t="s">
        <v>34</v>
      </c>
      <c r="T81" s="312" t="s">
        <v>24</v>
      </c>
      <c r="U81" s="313" t="s">
        <v>25</v>
      </c>
      <c r="V81" s="313" t="s">
        <v>26</v>
      </c>
      <c r="W81" s="313" t="s">
        <v>27</v>
      </c>
      <c r="X81" s="313" t="s">
        <v>17</v>
      </c>
      <c r="Y81" s="313" t="s">
        <v>28</v>
      </c>
      <c r="Z81" s="313" t="s">
        <v>29</v>
      </c>
      <c r="AA81" s="313" t="s">
        <v>30</v>
      </c>
      <c r="AB81" s="313" t="s">
        <v>31</v>
      </c>
      <c r="AC81" s="313" t="s">
        <v>32</v>
      </c>
      <c r="AD81" s="313" t="s">
        <v>33</v>
      </c>
      <c r="AE81" s="126" t="s">
        <v>34</v>
      </c>
      <c r="AF81" s="313" t="s">
        <v>24</v>
      </c>
      <c r="AG81" s="313" t="s">
        <v>25</v>
      </c>
      <c r="AH81" s="313" t="s">
        <v>26</v>
      </c>
      <c r="AI81" s="313" t="s">
        <v>27</v>
      </c>
      <c r="AJ81" s="313" t="s">
        <v>17</v>
      </c>
      <c r="AK81" s="313" t="s">
        <v>28</v>
      </c>
      <c r="AL81" s="313" t="s">
        <v>29</v>
      </c>
      <c r="AM81" s="313" t="s">
        <v>30</v>
      </c>
      <c r="AN81" s="313" t="s">
        <v>31</v>
      </c>
      <c r="AO81" s="313" t="s">
        <v>32</v>
      </c>
      <c r="AP81" s="313" t="s">
        <v>33</v>
      </c>
      <c r="AQ81" s="126" t="s">
        <v>34</v>
      </c>
    </row>
    <row r="82" spans="2:43" x14ac:dyDescent="0.3">
      <c r="B82" s="125" t="s">
        <v>80</v>
      </c>
      <c r="C82" s="397"/>
      <c r="D82" s="238">
        <f>1/$C$13*D13*$D$22</f>
        <v>0.27123287671232882</v>
      </c>
      <c r="E82" s="238">
        <f t="shared" ref="E82:G82" si="61">1/$C$13*E13*$D$22</f>
        <v>0.27424657534246577</v>
      </c>
      <c r="F82" s="238">
        <f t="shared" si="61"/>
        <v>0.27726027397260278</v>
      </c>
      <c r="G82" s="241">
        <f t="shared" si="61"/>
        <v>0.27726027397260278</v>
      </c>
      <c r="H82" s="238">
        <f>1/$C$13*H13*$E$22</f>
        <v>0.10616438356164383</v>
      </c>
      <c r="I82" s="238">
        <f t="shared" ref="I82:S82" si="62">1/$C$13*I13*$E$22</f>
        <v>9.5890410958904118E-2</v>
      </c>
      <c r="J82" s="238">
        <f t="shared" si="62"/>
        <v>0.10616438356164383</v>
      </c>
      <c r="K82" s="238">
        <f t="shared" si="62"/>
        <v>0.10273972602739725</v>
      </c>
      <c r="L82" s="238">
        <f t="shared" si="62"/>
        <v>0.10616438356164383</v>
      </c>
      <c r="M82" s="238">
        <f t="shared" si="62"/>
        <v>0.10273972602739725</v>
      </c>
      <c r="N82" s="238">
        <f t="shared" si="62"/>
        <v>0.10616438356164383</v>
      </c>
      <c r="O82" s="238">
        <f t="shared" si="62"/>
        <v>0.10616438356164383</v>
      </c>
      <c r="P82" s="238">
        <f t="shared" si="62"/>
        <v>0.10273972602739725</v>
      </c>
      <c r="Q82" s="238">
        <f t="shared" si="62"/>
        <v>0.10616438356164383</v>
      </c>
      <c r="R82" s="238">
        <f t="shared" si="62"/>
        <v>0.10273972602739725</v>
      </c>
      <c r="S82" s="241">
        <f t="shared" si="62"/>
        <v>0.10616438356164383</v>
      </c>
      <c r="T82" s="238">
        <f>1/$C$13*$F$22</f>
        <v>4.1095890410958909E-3</v>
      </c>
      <c r="U82" s="238">
        <f t="shared" ref="U82:AE82" si="63">1/$C$13*$F$22</f>
        <v>4.1095890410958909E-3</v>
      </c>
      <c r="V82" s="238">
        <f t="shared" si="63"/>
        <v>4.1095890410958909E-3</v>
      </c>
      <c r="W82" s="238">
        <f t="shared" si="63"/>
        <v>4.1095890410958909E-3</v>
      </c>
      <c r="X82" s="238">
        <f t="shared" si="63"/>
        <v>4.1095890410958909E-3</v>
      </c>
      <c r="Y82" s="238">
        <f t="shared" si="63"/>
        <v>4.1095890410958909E-3</v>
      </c>
      <c r="Z82" s="238">
        <f t="shared" si="63"/>
        <v>4.1095890410958909E-3</v>
      </c>
      <c r="AA82" s="238">
        <f t="shared" si="63"/>
        <v>4.1095890410958909E-3</v>
      </c>
      <c r="AB82" s="238">
        <f t="shared" si="63"/>
        <v>4.1095890410958909E-3</v>
      </c>
      <c r="AC82" s="238">
        <f t="shared" si="63"/>
        <v>4.1095890410958909E-3</v>
      </c>
      <c r="AD82" s="238">
        <f t="shared" si="63"/>
        <v>4.1095890410958909E-3</v>
      </c>
      <c r="AE82" s="241">
        <f t="shared" si="63"/>
        <v>4.1095890410958909E-3</v>
      </c>
      <c r="AF82" s="238">
        <f>1/$C$13*$G$22</f>
        <v>4.1095890410958909E-3</v>
      </c>
      <c r="AG82" s="124">
        <f t="shared" ref="AG82:AP82" si="64">1/$C$13*$G$22</f>
        <v>4.1095890410958909E-3</v>
      </c>
      <c r="AH82" s="124">
        <f t="shared" si="64"/>
        <v>4.1095890410958909E-3</v>
      </c>
      <c r="AI82" s="124">
        <f t="shared" si="64"/>
        <v>4.1095890410958909E-3</v>
      </c>
      <c r="AJ82" s="124">
        <f t="shared" si="64"/>
        <v>4.1095890410958909E-3</v>
      </c>
      <c r="AK82" s="124">
        <f t="shared" si="64"/>
        <v>4.1095890410958909E-3</v>
      </c>
      <c r="AL82" s="124">
        <f t="shared" si="64"/>
        <v>4.1095890410958909E-3</v>
      </c>
      <c r="AM82" s="124">
        <f t="shared" si="64"/>
        <v>4.1095890410958909E-3</v>
      </c>
      <c r="AN82" s="124">
        <f t="shared" si="64"/>
        <v>4.1095890410958909E-3</v>
      </c>
      <c r="AO82" s="124">
        <f t="shared" si="64"/>
        <v>4.1095890410958909E-3</v>
      </c>
      <c r="AP82" s="124">
        <f t="shared" si="64"/>
        <v>4.1095890410958909E-3</v>
      </c>
      <c r="AQ82" s="241">
        <f>1/$C$13*$G$22</f>
        <v>4.1095890410958909E-3</v>
      </c>
    </row>
    <row r="83" spans="2:43" x14ac:dyDescent="0.3">
      <c r="B83" s="125" t="s">
        <v>96</v>
      </c>
      <c r="C83" s="397"/>
      <c r="D83" s="238">
        <f>1/$C$13*D13*$H$22</f>
        <v>0.27123287671232882</v>
      </c>
      <c r="E83" s="238">
        <f t="shared" ref="E83:G83" si="65">1/$C$13*E13*$H$22</f>
        <v>0.27424657534246577</v>
      </c>
      <c r="F83" s="238">
        <f t="shared" si="65"/>
        <v>0.27726027397260278</v>
      </c>
      <c r="G83" s="241">
        <f t="shared" si="65"/>
        <v>0.27726027397260278</v>
      </c>
      <c r="H83" s="238">
        <f>1/$C$13*H13*$I$22</f>
        <v>0.10616438356164383</v>
      </c>
      <c r="I83" s="238">
        <f t="shared" ref="I83:S83" si="66">1/$C$13*I13*$I$22</f>
        <v>9.5890410958904118E-2</v>
      </c>
      <c r="J83" s="238">
        <f t="shared" si="66"/>
        <v>0.10616438356164383</v>
      </c>
      <c r="K83" s="238">
        <f t="shared" si="66"/>
        <v>0.10273972602739725</v>
      </c>
      <c r="L83" s="238">
        <f t="shared" si="66"/>
        <v>0.10616438356164383</v>
      </c>
      <c r="M83" s="238">
        <f t="shared" si="66"/>
        <v>0.10273972602739725</v>
      </c>
      <c r="N83" s="238">
        <f t="shared" si="66"/>
        <v>0.10616438356164383</v>
      </c>
      <c r="O83" s="238">
        <f t="shared" si="66"/>
        <v>0.10616438356164383</v>
      </c>
      <c r="P83" s="238">
        <f t="shared" si="66"/>
        <v>0.10273972602739725</v>
      </c>
      <c r="Q83" s="238">
        <f t="shared" si="66"/>
        <v>0.10616438356164383</v>
      </c>
      <c r="R83" s="238">
        <f t="shared" si="66"/>
        <v>0.10273972602739725</v>
      </c>
      <c r="S83" s="241">
        <f t="shared" si="66"/>
        <v>0.10616438356164383</v>
      </c>
      <c r="T83" s="238">
        <f>1/$C$13*$J$22</f>
        <v>4.1095890410958909E-3</v>
      </c>
      <c r="U83" s="238">
        <f t="shared" ref="U83:AE83" si="67">1/$C$13*$J$22</f>
        <v>4.1095890410958909E-3</v>
      </c>
      <c r="V83" s="238">
        <f t="shared" si="67"/>
        <v>4.1095890410958909E-3</v>
      </c>
      <c r="W83" s="238">
        <f t="shared" si="67"/>
        <v>4.1095890410958909E-3</v>
      </c>
      <c r="X83" s="238">
        <f t="shared" si="67"/>
        <v>4.1095890410958909E-3</v>
      </c>
      <c r="Y83" s="238">
        <f t="shared" si="67"/>
        <v>4.1095890410958909E-3</v>
      </c>
      <c r="Z83" s="238">
        <f t="shared" si="67"/>
        <v>4.1095890410958909E-3</v>
      </c>
      <c r="AA83" s="238">
        <f t="shared" si="67"/>
        <v>4.1095890410958909E-3</v>
      </c>
      <c r="AB83" s="238">
        <f t="shared" si="67"/>
        <v>4.1095890410958909E-3</v>
      </c>
      <c r="AC83" s="238">
        <f t="shared" si="67"/>
        <v>4.1095890410958909E-3</v>
      </c>
      <c r="AD83" s="238">
        <f t="shared" si="67"/>
        <v>4.1095890410958909E-3</v>
      </c>
      <c r="AE83" s="241">
        <f t="shared" si="67"/>
        <v>4.1095890410958909E-3</v>
      </c>
      <c r="AF83" s="238">
        <f>1/$C$13*$K$22</f>
        <v>4.1095890410958909E-3</v>
      </c>
      <c r="AG83" s="124">
        <f t="shared" ref="AG83:AP83" si="68">1/$C$13*$K$22</f>
        <v>4.1095890410958909E-3</v>
      </c>
      <c r="AH83" s="124">
        <f t="shared" si="68"/>
        <v>4.1095890410958909E-3</v>
      </c>
      <c r="AI83" s="124">
        <f t="shared" si="68"/>
        <v>4.1095890410958909E-3</v>
      </c>
      <c r="AJ83" s="124">
        <f t="shared" si="68"/>
        <v>4.1095890410958909E-3</v>
      </c>
      <c r="AK83" s="124">
        <f t="shared" si="68"/>
        <v>4.1095890410958909E-3</v>
      </c>
      <c r="AL83" s="124">
        <f t="shared" si="68"/>
        <v>4.1095890410958909E-3</v>
      </c>
      <c r="AM83" s="124">
        <f t="shared" si="68"/>
        <v>4.1095890410958909E-3</v>
      </c>
      <c r="AN83" s="124">
        <f t="shared" si="68"/>
        <v>4.1095890410958909E-3</v>
      </c>
      <c r="AO83" s="124">
        <f t="shared" si="68"/>
        <v>4.1095890410958909E-3</v>
      </c>
      <c r="AP83" s="124">
        <f t="shared" si="68"/>
        <v>4.1095890410958909E-3</v>
      </c>
      <c r="AQ83" s="241">
        <f>1/$C$13*$K$22</f>
        <v>4.1095890410958909E-3</v>
      </c>
    </row>
    <row r="84" spans="2:43" x14ac:dyDescent="0.3">
      <c r="B84" s="125" t="s">
        <v>97</v>
      </c>
      <c r="C84" s="397"/>
      <c r="D84" s="238">
        <f>1/$C$13*D13*$L$22*D40</f>
        <v>0.49006849315068496</v>
      </c>
      <c r="E84" s="238">
        <f t="shared" ref="E84:G84" si="69">1/$C$13*E13*$L$22*E40</f>
        <v>0.20568493150684933</v>
      </c>
      <c r="F84" s="238">
        <f t="shared" si="69"/>
        <v>0.20479452054794522</v>
      </c>
      <c r="G84" s="241">
        <f t="shared" si="69"/>
        <v>0.3465753424657535</v>
      </c>
      <c r="H84" s="238">
        <f>1/$C$13*H13*$M$22*H40</f>
        <v>0.20765753424657535</v>
      </c>
      <c r="I84" s="238">
        <f t="shared" ref="I84:S84" si="70">1/$C$13*I13*$M$22*I40</f>
        <v>0.16684931506849315</v>
      </c>
      <c r="J84" s="238">
        <f t="shared" si="70"/>
        <v>0.21657534246575341</v>
      </c>
      <c r="K84" s="238">
        <f t="shared" si="70"/>
        <v>9.1232876712328756E-2</v>
      </c>
      <c r="L84" s="238">
        <f t="shared" si="70"/>
        <v>7.516438356164383E-2</v>
      </c>
      <c r="M84" s="238">
        <f t="shared" si="70"/>
        <v>8.0136986301369867E-2</v>
      </c>
      <c r="N84" s="238">
        <f t="shared" si="70"/>
        <v>5.4780821917808219E-2</v>
      </c>
      <c r="O84" s="238">
        <f t="shared" si="70"/>
        <v>8.5356164383561653E-2</v>
      </c>
      <c r="P84" s="238">
        <f t="shared" si="70"/>
        <v>0.10356164383561643</v>
      </c>
      <c r="Q84" s="238">
        <f t="shared" si="70"/>
        <v>0.13504109589041097</v>
      </c>
      <c r="R84" s="238">
        <f t="shared" si="70"/>
        <v>0.14054794520547942</v>
      </c>
      <c r="S84" s="241">
        <f t="shared" si="70"/>
        <v>0.1414109589041096</v>
      </c>
      <c r="T84" s="238">
        <f>1/$C$13*$N$22*T40</f>
        <v>1.3397260273972603E-2</v>
      </c>
      <c r="U84" s="238">
        <f t="shared" ref="U84:AE84" si="71">1/$C$13*$N$22*U40</f>
        <v>1.1917808219178084E-2</v>
      </c>
      <c r="V84" s="238">
        <f t="shared" si="71"/>
        <v>1.3972602739726029E-2</v>
      </c>
      <c r="W84" s="238">
        <f t="shared" si="71"/>
        <v>6.0821917808219182E-3</v>
      </c>
      <c r="X84" s="238">
        <f t="shared" si="71"/>
        <v>4.8493150684931511E-3</v>
      </c>
      <c r="Y84" s="238">
        <f t="shared" si="71"/>
        <v>5.342465753424658E-3</v>
      </c>
      <c r="Z84" s="238">
        <f t="shared" si="71"/>
        <v>3.5342465753424659E-3</v>
      </c>
      <c r="AA84" s="238">
        <f t="shared" si="71"/>
        <v>5.5068493150684942E-3</v>
      </c>
      <c r="AB84" s="238">
        <f t="shared" si="71"/>
        <v>6.9041095890410966E-3</v>
      </c>
      <c r="AC84" s="238">
        <f t="shared" si="71"/>
        <v>8.7123287671232886E-3</v>
      </c>
      <c r="AD84" s="238">
        <f t="shared" si="71"/>
        <v>9.3698630136986299E-3</v>
      </c>
      <c r="AE84" s="241">
        <f t="shared" si="71"/>
        <v>9.1232876712328791E-3</v>
      </c>
      <c r="AF84" s="238">
        <f>T84</f>
        <v>1.3397260273972603E-2</v>
      </c>
      <c r="AG84" s="124">
        <f t="shared" ref="AG84:AG86" si="72">U84</f>
        <v>1.1917808219178084E-2</v>
      </c>
      <c r="AH84" s="124">
        <f t="shared" ref="AH84:AH86" si="73">V84</f>
        <v>1.3972602739726029E-2</v>
      </c>
      <c r="AI84" s="124">
        <f t="shared" ref="AI84:AI86" si="74">W84</f>
        <v>6.0821917808219182E-3</v>
      </c>
      <c r="AJ84" s="124">
        <f t="shared" ref="AJ84:AJ86" si="75">X84</f>
        <v>4.8493150684931511E-3</v>
      </c>
      <c r="AK84" s="124">
        <f t="shared" ref="AK84:AK86" si="76">Y84</f>
        <v>5.342465753424658E-3</v>
      </c>
      <c r="AL84" s="124">
        <f t="shared" ref="AL84:AL86" si="77">Z84</f>
        <v>3.5342465753424659E-3</v>
      </c>
      <c r="AM84" s="124">
        <f t="shared" ref="AM84:AM86" si="78">AA84</f>
        <v>5.5068493150684942E-3</v>
      </c>
      <c r="AN84" s="124">
        <f t="shared" ref="AN84:AN86" si="79">AB84</f>
        <v>6.9041095890410966E-3</v>
      </c>
      <c r="AO84" s="124">
        <f t="shared" ref="AO84:AO86" si="80">AC84</f>
        <v>8.7123287671232886E-3</v>
      </c>
      <c r="AP84" s="124">
        <f t="shared" ref="AP84:AP86" si="81">AD84</f>
        <v>9.3698630136986299E-3</v>
      </c>
      <c r="AQ84" s="241">
        <f>AE84</f>
        <v>9.1232876712328791E-3</v>
      </c>
    </row>
    <row r="85" spans="2:43" x14ac:dyDescent="0.3">
      <c r="B85" s="340" t="s">
        <v>174</v>
      </c>
      <c r="C85" s="397"/>
      <c r="D85" s="238" t="s">
        <v>10</v>
      </c>
      <c r="E85" s="124" t="s">
        <v>10</v>
      </c>
      <c r="F85" s="124" t="s">
        <v>10</v>
      </c>
      <c r="G85" s="241" t="s">
        <v>10</v>
      </c>
      <c r="H85" s="238" t="s">
        <v>10</v>
      </c>
      <c r="I85" s="124" t="s">
        <v>10</v>
      </c>
      <c r="J85" s="124" t="s">
        <v>10</v>
      </c>
      <c r="K85" s="124" t="s">
        <v>10</v>
      </c>
      <c r="L85" s="124" t="s">
        <v>10</v>
      </c>
      <c r="M85" s="124" t="s">
        <v>10</v>
      </c>
      <c r="N85" s="124" t="s">
        <v>10</v>
      </c>
      <c r="O85" s="124" t="s">
        <v>10</v>
      </c>
      <c r="P85" s="124" t="s">
        <v>10</v>
      </c>
      <c r="Q85" s="124" t="s">
        <v>10</v>
      </c>
      <c r="R85" s="124" t="s">
        <v>10</v>
      </c>
      <c r="S85" s="241" t="s">
        <v>10</v>
      </c>
      <c r="T85" s="238" t="s">
        <v>10</v>
      </c>
      <c r="U85" s="238" t="s">
        <v>10</v>
      </c>
      <c r="V85" s="238" t="s">
        <v>10</v>
      </c>
      <c r="W85" s="238" t="s">
        <v>10</v>
      </c>
      <c r="X85" s="238" t="s">
        <v>10</v>
      </c>
      <c r="Y85" s="238" t="s">
        <v>10</v>
      </c>
      <c r="Z85" s="238" t="s">
        <v>10</v>
      </c>
      <c r="AA85" s="238" t="s">
        <v>10</v>
      </c>
      <c r="AB85" s="238" t="s">
        <v>10</v>
      </c>
      <c r="AC85" s="238" t="s">
        <v>10</v>
      </c>
      <c r="AD85" s="238" t="s">
        <v>10</v>
      </c>
      <c r="AE85" s="241" t="s">
        <v>10</v>
      </c>
      <c r="AF85" s="238" t="s">
        <v>10</v>
      </c>
      <c r="AG85" s="124" t="s">
        <v>10</v>
      </c>
      <c r="AH85" s="124" t="s">
        <v>10</v>
      </c>
      <c r="AI85" s="124" t="s">
        <v>10</v>
      </c>
      <c r="AJ85" s="124" t="s">
        <v>10</v>
      </c>
      <c r="AK85" s="124" t="s">
        <v>10</v>
      </c>
      <c r="AL85" s="124" t="s">
        <v>10</v>
      </c>
      <c r="AM85" s="124" t="s">
        <v>10</v>
      </c>
      <c r="AN85" s="124" t="s">
        <v>10</v>
      </c>
      <c r="AO85" s="124" t="s">
        <v>10</v>
      </c>
      <c r="AP85" s="124" t="s">
        <v>10</v>
      </c>
      <c r="AQ85" s="241" t="s">
        <v>10</v>
      </c>
    </row>
    <row r="86" spans="2:43" x14ac:dyDescent="0.3">
      <c r="B86" s="125" t="s">
        <v>11</v>
      </c>
      <c r="C86" s="398"/>
      <c r="D86" s="238">
        <f>1/$C$13*D13*$L$22*D32</f>
        <v>0.50239726027397258</v>
      </c>
      <c r="E86" s="238">
        <f t="shared" ref="E86:G86" si="82">1/$C$13*E13*$L$22*E32</f>
        <v>0.22438356164383563</v>
      </c>
      <c r="F86" s="238">
        <f t="shared" si="82"/>
        <v>0.13547945205479453</v>
      </c>
      <c r="G86" s="241">
        <f t="shared" si="82"/>
        <v>0.38438356164383564</v>
      </c>
      <c r="H86" s="238">
        <f>1/$C$13*H13*$M$22*H32</f>
        <v>0.24842465753424658</v>
      </c>
      <c r="I86" s="238">
        <f t="shared" ref="I86:S86" si="83">1/$C$13*I13*$M$22*I32</f>
        <v>0.16799999999999998</v>
      </c>
      <c r="J86" s="238">
        <f t="shared" si="83"/>
        <v>0.18727397260273973</v>
      </c>
      <c r="K86" s="238">
        <f t="shared" si="83"/>
        <v>0.10726027397260274</v>
      </c>
      <c r="L86" s="238">
        <f t="shared" si="83"/>
        <v>8.9178082191780819E-2</v>
      </c>
      <c r="M86" s="238">
        <f t="shared" si="83"/>
        <v>7.3972602739726015E-2</v>
      </c>
      <c r="N86" s="238">
        <f t="shared" si="83"/>
        <v>3.3123287671232876E-2</v>
      </c>
      <c r="O86" s="238">
        <f t="shared" si="83"/>
        <v>3.4397260273972607E-2</v>
      </c>
      <c r="P86" s="238">
        <f t="shared" si="83"/>
        <v>9.4931506849315062E-2</v>
      </c>
      <c r="Q86" s="238">
        <f t="shared" si="83"/>
        <v>0.13758904109589043</v>
      </c>
      <c r="R86" s="238">
        <f t="shared" si="83"/>
        <v>0.14794520547945203</v>
      </c>
      <c r="S86" s="241">
        <f t="shared" si="83"/>
        <v>0.17453424657534247</v>
      </c>
      <c r="T86" s="238">
        <f>1/$C$13*$N$22*T32</f>
        <v>1.6027397260273975E-2</v>
      </c>
      <c r="U86" s="238">
        <f t="shared" ref="U86:AE86" si="84">1/$C$13*$N$22*U32</f>
        <v>1.2E-2</v>
      </c>
      <c r="V86" s="238">
        <f t="shared" si="84"/>
        <v>1.2082191780821918E-2</v>
      </c>
      <c r="W86" s="238">
        <f t="shared" si="84"/>
        <v>7.15068493150685E-3</v>
      </c>
      <c r="X86" s="238">
        <f t="shared" si="84"/>
        <v>5.7534246575342467E-3</v>
      </c>
      <c r="Y86" s="238">
        <f t="shared" si="84"/>
        <v>4.9315068493150692E-3</v>
      </c>
      <c r="Z86" s="238">
        <f t="shared" si="84"/>
        <v>2.1369863013698635E-3</v>
      </c>
      <c r="AA86" s="238">
        <f t="shared" si="84"/>
        <v>2.2191780821917812E-3</v>
      </c>
      <c r="AB86" s="238">
        <f t="shared" si="84"/>
        <v>6.3287671232876725E-3</v>
      </c>
      <c r="AC86" s="238">
        <f t="shared" si="84"/>
        <v>8.8767123287671248E-3</v>
      </c>
      <c r="AD86" s="238">
        <f t="shared" si="84"/>
        <v>9.8630136986301385E-3</v>
      </c>
      <c r="AE86" s="241">
        <f t="shared" si="84"/>
        <v>1.1260273972602743E-2</v>
      </c>
      <c r="AF86" s="238">
        <f>T86</f>
        <v>1.6027397260273975E-2</v>
      </c>
      <c r="AG86" s="124">
        <f t="shared" si="72"/>
        <v>1.2E-2</v>
      </c>
      <c r="AH86" s="124">
        <f t="shared" si="73"/>
        <v>1.2082191780821918E-2</v>
      </c>
      <c r="AI86" s="124">
        <f t="shared" si="74"/>
        <v>7.15068493150685E-3</v>
      </c>
      <c r="AJ86" s="124">
        <f t="shared" si="75"/>
        <v>5.7534246575342467E-3</v>
      </c>
      <c r="AK86" s="124">
        <f t="shared" si="76"/>
        <v>4.9315068493150692E-3</v>
      </c>
      <c r="AL86" s="124">
        <f t="shared" si="77"/>
        <v>2.1369863013698635E-3</v>
      </c>
      <c r="AM86" s="124">
        <f t="shared" si="78"/>
        <v>2.2191780821917812E-3</v>
      </c>
      <c r="AN86" s="124">
        <f t="shared" si="79"/>
        <v>6.3287671232876725E-3</v>
      </c>
      <c r="AO86" s="124">
        <f t="shared" si="80"/>
        <v>8.8767123287671248E-3</v>
      </c>
      <c r="AP86" s="124">
        <f t="shared" si="81"/>
        <v>9.8630136986301385E-3</v>
      </c>
      <c r="AQ86" s="241">
        <f t="shared" ref="AQ86" si="85">AE86</f>
        <v>1.1260273972602743E-2</v>
      </c>
    </row>
    <row r="87" spans="2:43" x14ac:dyDescent="0.3">
      <c r="B87" s="128" t="s">
        <v>93</v>
      </c>
      <c r="C87" s="247">
        <f>ROUND('Tariffs_ref. prices until 2023'!G96,2)</f>
        <v>142.77000000000001</v>
      </c>
      <c r="D87" s="239">
        <f>$C$87*D82</f>
        <v>38.723917808219191</v>
      </c>
      <c r="E87" s="239">
        <f t="shared" ref="E87:AP87" si="86">$C$87*E82</f>
        <v>39.154183561643841</v>
      </c>
      <c r="F87" s="239">
        <f t="shared" si="86"/>
        <v>39.584449315068504</v>
      </c>
      <c r="G87" s="242">
        <f t="shared" si="86"/>
        <v>39.584449315068504</v>
      </c>
      <c r="H87" s="239">
        <f>$C$87*H82</f>
        <v>15.15708904109589</v>
      </c>
      <c r="I87" s="239">
        <f t="shared" si="86"/>
        <v>13.690273972602743</v>
      </c>
      <c r="J87" s="239">
        <f t="shared" si="86"/>
        <v>15.15708904109589</v>
      </c>
      <c r="K87" s="239">
        <f t="shared" si="86"/>
        <v>14.668150684931508</v>
      </c>
      <c r="L87" s="239">
        <f t="shared" si="86"/>
        <v>15.15708904109589</v>
      </c>
      <c r="M87" s="239">
        <f t="shared" si="86"/>
        <v>14.668150684931508</v>
      </c>
      <c r="N87" s="239">
        <f t="shared" si="86"/>
        <v>15.15708904109589</v>
      </c>
      <c r="O87" s="239">
        <f t="shared" si="86"/>
        <v>15.15708904109589</v>
      </c>
      <c r="P87" s="239">
        <f t="shared" si="86"/>
        <v>14.668150684931508</v>
      </c>
      <c r="Q87" s="239">
        <f t="shared" si="86"/>
        <v>15.15708904109589</v>
      </c>
      <c r="R87" s="239">
        <f t="shared" si="86"/>
        <v>14.668150684931508</v>
      </c>
      <c r="S87" s="242">
        <f t="shared" si="86"/>
        <v>15.15708904109589</v>
      </c>
      <c r="T87" s="239">
        <f t="shared" si="86"/>
        <v>0.58672602739726043</v>
      </c>
      <c r="U87" s="239">
        <f t="shared" si="86"/>
        <v>0.58672602739726043</v>
      </c>
      <c r="V87" s="239">
        <f t="shared" si="86"/>
        <v>0.58672602739726043</v>
      </c>
      <c r="W87" s="239">
        <f t="shared" si="86"/>
        <v>0.58672602739726043</v>
      </c>
      <c r="X87" s="239">
        <f t="shared" si="86"/>
        <v>0.58672602739726043</v>
      </c>
      <c r="Y87" s="239">
        <f t="shared" si="86"/>
        <v>0.58672602739726043</v>
      </c>
      <c r="Z87" s="239">
        <f t="shared" si="86"/>
        <v>0.58672602739726043</v>
      </c>
      <c r="AA87" s="239">
        <f t="shared" si="86"/>
        <v>0.58672602739726043</v>
      </c>
      <c r="AB87" s="239">
        <f t="shared" si="86"/>
        <v>0.58672602739726043</v>
      </c>
      <c r="AC87" s="239">
        <f t="shared" si="86"/>
        <v>0.58672602739726043</v>
      </c>
      <c r="AD87" s="239">
        <f t="shared" si="86"/>
        <v>0.58672602739726043</v>
      </c>
      <c r="AE87" s="242">
        <f t="shared" si="86"/>
        <v>0.58672602739726043</v>
      </c>
      <c r="AF87" s="239">
        <f t="shared" si="86"/>
        <v>0.58672602739726043</v>
      </c>
      <c r="AG87" s="239">
        <f t="shared" si="86"/>
        <v>0.58672602739726043</v>
      </c>
      <c r="AH87" s="239">
        <f t="shared" si="86"/>
        <v>0.58672602739726043</v>
      </c>
      <c r="AI87" s="239">
        <f t="shared" si="86"/>
        <v>0.58672602739726043</v>
      </c>
      <c r="AJ87" s="239">
        <f t="shared" si="86"/>
        <v>0.58672602739726043</v>
      </c>
      <c r="AK87" s="239">
        <f t="shared" si="86"/>
        <v>0.58672602739726043</v>
      </c>
      <c r="AL87" s="239">
        <f t="shared" si="86"/>
        <v>0.58672602739726043</v>
      </c>
      <c r="AM87" s="239">
        <f t="shared" si="86"/>
        <v>0.58672602739726043</v>
      </c>
      <c r="AN87" s="239">
        <f t="shared" si="86"/>
        <v>0.58672602739726043</v>
      </c>
      <c r="AO87" s="239">
        <f t="shared" si="86"/>
        <v>0.58672602739726043</v>
      </c>
      <c r="AP87" s="239">
        <f t="shared" si="86"/>
        <v>0.58672602739726043</v>
      </c>
      <c r="AQ87" s="242">
        <f t="shared" ref="AQ87" si="87">$C$87*AQ82</f>
        <v>0.58672602739726043</v>
      </c>
    </row>
    <row r="88" spans="2:43" x14ac:dyDescent="0.3">
      <c r="B88" s="128" t="s">
        <v>138</v>
      </c>
      <c r="C88" s="247">
        <f>ROUND('Tariffs_ref. prices until 2023'!G97,2)</f>
        <v>31.04</v>
      </c>
      <c r="D88" s="239">
        <f>$C$88*D82</f>
        <v>8.4190684931506858</v>
      </c>
      <c r="E88" s="239">
        <f t="shared" ref="E88:AP88" si="88">$C$88*E82</f>
        <v>8.5126136986301368</v>
      </c>
      <c r="F88" s="239">
        <f t="shared" si="88"/>
        <v>8.6061589041095896</v>
      </c>
      <c r="G88" s="242">
        <f t="shared" si="88"/>
        <v>8.6061589041095896</v>
      </c>
      <c r="H88" s="239">
        <f t="shared" si="88"/>
        <v>3.2953424657534245</v>
      </c>
      <c r="I88" s="239">
        <f t="shared" si="88"/>
        <v>2.9764383561643837</v>
      </c>
      <c r="J88" s="239">
        <f t="shared" si="88"/>
        <v>3.2953424657534245</v>
      </c>
      <c r="K88" s="239">
        <f t="shared" si="88"/>
        <v>3.1890410958904107</v>
      </c>
      <c r="L88" s="239">
        <f t="shared" si="88"/>
        <v>3.2953424657534245</v>
      </c>
      <c r="M88" s="239">
        <f t="shared" si="88"/>
        <v>3.1890410958904107</v>
      </c>
      <c r="N88" s="239">
        <f t="shared" si="88"/>
        <v>3.2953424657534245</v>
      </c>
      <c r="O88" s="239">
        <f t="shared" si="88"/>
        <v>3.2953424657534245</v>
      </c>
      <c r="P88" s="239">
        <f t="shared" si="88"/>
        <v>3.1890410958904107</v>
      </c>
      <c r="Q88" s="239">
        <f t="shared" si="88"/>
        <v>3.2953424657534245</v>
      </c>
      <c r="R88" s="239">
        <f t="shared" si="88"/>
        <v>3.1890410958904107</v>
      </c>
      <c r="S88" s="242">
        <f t="shared" si="88"/>
        <v>3.2953424657534245</v>
      </c>
      <c r="T88" s="239">
        <f t="shared" si="88"/>
        <v>0.12756164383561644</v>
      </c>
      <c r="U88" s="239">
        <f t="shared" si="88"/>
        <v>0.12756164383561644</v>
      </c>
      <c r="V88" s="239">
        <f t="shared" si="88"/>
        <v>0.12756164383561644</v>
      </c>
      <c r="W88" s="239">
        <f t="shared" si="88"/>
        <v>0.12756164383561644</v>
      </c>
      <c r="X88" s="239">
        <f t="shared" si="88"/>
        <v>0.12756164383561644</v>
      </c>
      <c r="Y88" s="239">
        <f t="shared" si="88"/>
        <v>0.12756164383561644</v>
      </c>
      <c r="Z88" s="239">
        <f t="shared" si="88"/>
        <v>0.12756164383561644</v>
      </c>
      <c r="AA88" s="239">
        <f t="shared" si="88"/>
        <v>0.12756164383561644</v>
      </c>
      <c r="AB88" s="239">
        <f t="shared" si="88"/>
        <v>0.12756164383561644</v>
      </c>
      <c r="AC88" s="239">
        <f t="shared" si="88"/>
        <v>0.12756164383561644</v>
      </c>
      <c r="AD88" s="239">
        <f t="shared" si="88"/>
        <v>0.12756164383561644</v>
      </c>
      <c r="AE88" s="242">
        <f t="shared" si="88"/>
        <v>0.12756164383561644</v>
      </c>
      <c r="AF88" s="239">
        <f t="shared" si="88"/>
        <v>0.12756164383561644</v>
      </c>
      <c r="AG88" s="239">
        <f t="shared" si="88"/>
        <v>0.12756164383561644</v>
      </c>
      <c r="AH88" s="239">
        <f t="shared" si="88"/>
        <v>0.12756164383561644</v>
      </c>
      <c r="AI88" s="239">
        <f t="shared" si="88"/>
        <v>0.12756164383561644</v>
      </c>
      <c r="AJ88" s="239">
        <f t="shared" si="88"/>
        <v>0.12756164383561644</v>
      </c>
      <c r="AK88" s="239">
        <f t="shared" si="88"/>
        <v>0.12756164383561644</v>
      </c>
      <c r="AL88" s="239">
        <f t="shared" si="88"/>
        <v>0.12756164383561644</v>
      </c>
      <c r="AM88" s="239">
        <f t="shared" si="88"/>
        <v>0.12756164383561644</v>
      </c>
      <c r="AN88" s="239">
        <f t="shared" si="88"/>
        <v>0.12756164383561644</v>
      </c>
      <c r="AO88" s="239">
        <f t="shared" si="88"/>
        <v>0.12756164383561644</v>
      </c>
      <c r="AP88" s="239">
        <f t="shared" si="88"/>
        <v>0.12756164383561644</v>
      </c>
      <c r="AQ88" s="242">
        <f t="shared" ref="AQ88" si="89">$C$88*AQ82</f>
        <v>0.12756164383561644</v>
      </c>
    </row>
    <row r="89" spans="2:43" x14ac:dyDescent="0.3">
      <c r="B89" s="128" t="s">
        <v>94</v>
      </c>
      <c r="C89" s="247">
        <f>ROUND('Tariffs_ref. prices until 2023'!G98,2)</f>
        <v>142.77000000000001</v>
      </c>
      <c r="D89" s="239">
        <f>$C$89*D82</f>
        <v>38.723917808219191</v>
      </c>
      <c r="E89" s="239">
        <f t="shared" ref="E89:AP89" si="90">$C$89*E82</f>
        <v>39.154183561643841</v>
      </c>
      <c r="F89" s="239">
        <f t="shared" si="90"/>
        <v>39.584449315068504</v>
      </c>
      <c r="G89" s="242">
        <f t="shared" si="90"/>
        <v>39.584449315068504</v>
      </c>
      <c r="H89" s="239">
        <f t="shared" si="90"/>
        <v>15.15708904109589</v>
      </c>
      <c r="I89" s="239">
        <f t="shared" si="90"/>
        <v>13.690273972602743</v>
      </c>
      <c r="J89" s="239">
        <f t="shared" si="90"/>
        <v>15.15708904109589</v>
      </c>
      <c r="K89" s="239">
        <f t="shared" si="90"/>
        <v>14.668150684931508</v>
      </c>
      <c r="L89" s="239">
        <f>$C$89*L82</f>
        <v>15.15708904109589</v>
      </c>
      <c r="M89" s="239">
        <f t="shared" si="90"/>
        <v>14.668150684931508</v>
      </c>
      <c r="N89" s="239">
        <f t="shared" si="90"/>
        <v>15.15708904109589</v>
      </c>
      <c r="O89" s="239">
        <f t="shared" si="90"/>
        <v>15.15708904109589</v>
      </c>
      <c r="P89" s="239">
        <f t="shared" si="90"/>
        <v>14.668150684931508</v>
      </c>
      <c r="Q89" s="239">
        <f t="shared" si="90"/>
        <v>15.15708904109589</v>
      </c>
      <c r="R89" s="239">
        <f t="shared" si="90"/>
        <v>14.668150684931508</v>
      </c>
      <c r="S89" s="242">
        <f t="shared" si="90"/>
        <v>15.15708904109589</v>
      </c>
      <c r="T89" s="239">
        <f t="shared" si="90"/>
        <v>0.58672602739726043</v>
      </c>
      <c r="U89" s="239">
        <f t="shared" si="90"/>
        <v>0.58672602739726043</v>
      </c>
      <c r="V89" s="239">
        <f t="shared" si="90"/>
        <v>0.58672602739726043</v>
      </c>
      <c r="W89" s="239">
        <f t="shared" si="90"/>
        <v>0.58672602739726043</v>
      </c>
      <c r="X89" s="239">
        <f t="shared" si="90"/>
        <v>0.58672602739726043</v>
      </c>
      <c r="Y89" s="239">
        <f t="shared" si="90"/>
        <v>0.58672602739726043</v>
      </c>
      <c r="Z89" s="239">
        <f t="shared" si="90"/>
        <v>0.58672602739726043</v>
      </c>
      <c r="AA89" s="239">
        <f t="shared" si="90"/>
        <v>0.58672602739726043</v>
      </c>
      <c r="AB89" s="239">
        <f t="shared" si="90"/>
        <v>0.58672602739726043</v>
      </c>
      <c r="AC89" s="239">
        <f t="shared" si="90"/>
        <v>0.58672602739726043</v>
      </c>
      <c r="AD89" s="239">
        <f t="shared" si="90"/>
        <v>0.58672602739726043</v>
      </c>
      <c r="AE89" s="242">
        <f t="shared" si="90"/>
        <v>0.58672602739726043</v>
      </c>
      <c r="AF89" s="239">
        <f t="shared" si="90"/>
        <v>0.58672602739726043</v>
      </c>
      <c r="AG89" s="239">
        <f t="shared" si="90"/>
        <v>0.58672602739726043</v>
      </c>
      <c r="AH89" s="239">
        <f t="shared" si="90"/>
        <v>0.58672602739726043</v>
      </c>
      <c r="AI89" s="239">
        <f t="shared" si="90"/>
        <v>0.58672602739726043</v>
      </c>
      <c r="AJ89" s="239">
        <f t="shared" si="90"/>
        <v>0.58672602739726043</v>
      </c>
      <c r="AK89" s="239">
        <f t="shared" si="90"/>
        <v>0.58672602739726043</v>
      </c>
      <c r="AL89" s="239">
        <f t="shared" si="90"/>
        <v>0.58672602739726043</v>
      </c>
      <c r="AM89" s="239">
        <f t="shared" si="90"/>
        <v>0.58672602739726043</v>
      </c>
      <c r="AN89" s="239">
        <f t="shared" si="90"/>
        <v>0.58672602739726043</v>
      </c>
      <c r="AO89" s="239">
        <f t="shared" si="90"/>
        <v>0.58672602739726043</v>
      </c>
      <c r="AP89" s="239">
        <f t="shared" si="90"/>
        <v>0.58672602739726043</v>
      </c>
      <c r="AQ89" s="242">
        <f t="shared" ref="AQ89" si="91">$C$89*AQ82</f>
        <v>0.58672602739726043</v>
      </c>
    </row>
    <row r="90" spans="2:43" x14ac:dyDescent="0.3">
      <c r="B90" s="128" t="s">
        <v>95</v>
      </c>
      <c r="C90" s="247">
        <f>ROUND('Tariffs_ref. prices until 2023'!G99,2)</f>
        <v>35.69</v>
      </c>
      <c r="D90" s="239">
        <f>$C$90*D82</f>
        <v>9.6803013698630149</v>
      </c>
      <c r="E90" s="239">
        <f t="shared" ref="E90:AP90" si="92">$C$90*E82</f>
        <v>9.7878602739726031</v>
      </c>
      <c r="F90" s="239">
        <f t="shared" si="92"/>
        <v>9.895419178082193</v>
      </c>
      <c r="G90" s="242">
        <f t="shared" si="92"/>
        <v>9.895419178082193</v>
      </c>
      <c r="H90" s="239">
        <f t="shared" si="92"/>
        <v>3.7890068493150681</v>
      </c>
      <c r="I90" s="239">
        <f>$C$90*I82</f>
        <v>3.4223287671232878</v>
      </c>
      <c r="J90" s="239">
        <f t="shared" si="92"/>
        <v>3.7890068493150681</v>
      </c>
      <c r="K90" s="239">
        <f t="shared" si="92"/>
        <v>3.6667808219178077</v>
      </c>
      <c r="L90" s="239">
        <f t="shared" si="92"/>
        <v>3.7890068493150681</v>
      </c>
      <c r="M90" s="239">
        <f t="shared" si="92"/>
        <v>3.6667808219178077</v>
      </c>
      <c r="N90" s="239">
        <f t="shared" si="92"/>
        <v>3.7890068493150681</v>
      </c>
      <c r="O90" s="239">
        <f t="shared" si="92"/>
        <v>3.7890068493150681</v>
      </c>
      <c r="P90" s="239">
        <f t="shared" si="92"/>
        <v>3.6667808219178077</v>
      </c>
      <c r="Q90" s="239">
        <f t="shared" si="92"/>
        <v>3.7890068493150681</v>
      </c>
      <c r="R90" s="239">
        <f t="shared" si="92"/>
        <v>3.6667808219178077</v>
      </c>
      <c r="S90" s="242">
        <f t="shared" si="92"/>
        <v>3.7890068493150681</v>
      </c>
      <c r="T90" s="239">
        <f>$C$90*T82</f>
        <v>0.14667123287671233</v>
      </c>
      <c r="U90" s="239">
        <f t="shared" si="92"/>
        <v>0.14667123287671233</v>
      </c>
      <c r="V90" s="239">
        <f t="shared" si="92"/>
        <v>0.14667123287671233</v>
      </c>
      <c r="W90" s="239">
        <f t="shared" si="92"/>
        <v>0.14667123287671233</v>
      </c>
      <c r="X90" s="239">
        <f t="shared" si="92"/>
        <v>0.14667123287671233</v>
      </c>
      <c r="Y90" s="239">
        <f t="shared" si="92"/>
        <v>0.14667123287671233</v>
      </c>
      <c r="Z90" s="239">
        <f t="shared" si="92"/>
        <v>0.14667123287671233</v>
      </c>
      <c r="AA90" s="239">
        <f t="shared" si="92"/>
        <v>0.14667123287671233</v>
      </c>
      <c r="AB90" s="239">
        <f t="shared" si="92"/>
        <v>0.14667123287671233</v>
      </c>
      <c r="AC90" s="239">
        <f t="shared" si="92"/>
        <v>0.14667123287671233</v>
      </c>
      <c r="AD90" s="239">
        <f t="shared" si="92"/>
        <v>0.14667123287671233</v>
      </c>
      <c r="AE90" s="242">
        <f t="shared" si="92"/>
        <v>0.14667123287671233</v>
      </c>
      <c r="AF90" s="239">
        <f t="shared" si="92"/>
        <v>0.14667123287671233</v>
      </c>
      <c r="AG90" s="239">
        <f t="shared" si="92"/>
        <v>0.14667123287671233</v>
      </c>
      <c r="AH90" s="239">
        <f t="shared" si="92"/>
        <v>0.14667123287671233</v>
      </c>
      <c r="AI90" s="239">
        <f t="shared" si="92"/>
        <v>0.14667123287671233</v>
      </c>
      <c r="AJ90" s="239">
        <f t="shared" si="92"/>
        <v>0.14667123287671233</v>
      </c>
      <c r="AK90" s="239">
        <f t="shared" si="92"/>
        <v>0.14667123287671233</v>
      </c>
      <c r="AL90" s="239">
        <f t="shared" si="92"/>
        <v>0.14667123287671233</v>
      </c>
      <c r="AM90" s="239">
        <f t="shared" si="92"/>
        <v>0.14667123287671233</v>
      </c>
      <c r="AN90" s="239">
        <f t="shared" si="92"/>
        <v>0.14667123287671233</v>
      </c>
      <c r="AO90" s="239">
        <f t="shared" si="92"/>
        <v>0.14667123287671233</v>
      </c>
      <c r="AP90" s="239">
        <f t="shared" si="92"/>
        <v>0.14667123287671233</v>
      </c>
      <c r="AQ90" s="242">
        <f t="shared" ref="AQ90" si="93">$C$90*AQ82</f>
        <v>0.14667123287671233</v>
      </c>
    </row>
    <row r="91" spans="2:43" x14ac:dyDescent="0.3">
      <c r="B91" s="318" t="s">
        <v>167</v>
      </c>
      <c r="C91" s="247" t="s">
        <v>10</v>
      </c>
      <c r="D91" s="239" t="s">
        <v>10</v>
      </c>
      <c r="E91" s="239" t="s">
        <v>10</v>
      </c>
      <c r="F91" s="239" t="s">
        <v>10</v>
      </c>
      <c r="G91" s="242" t="s">
        <v>10</v>
      </c>
      <c r="H91" s="239" t="s">
        <v>10</v>
      </c>
      <c r="I91" s="239" t="s">
        <v>10</v>
      </c>
      <c r="J91" s="239" t="s">
        <v>10</v>
      </c>
      <c r="K91" s="239" t="s">
        <v>10</v>
      </c>
      <c r="L91" s="239" t="s">
        <v>10</v>
      </c>
      <c r="M91" s="239" t="s">
        <v>10</v>
      </c>
      <c r="N91" s="239" t="s">
        <v>10</v>
      </c>
      <c r="O91" s="239" t="s">
        <v>10</v>
      </c>
      <c r="P91" s="239" t="s">
        <v>10</v>
      </c>
      <c r="Q91" s="239" t="s">
        <v>10</v>
      </c>
      <c r="R91" s="239" t="s">
        <v>10</v>
      </c>
      <c r="S91" s="242" t="s">
        <v>10</v>
      </c>
      <c r="T91" s="239" t="s">
        <v>10</v>
      </c>
      <c r="U91" s="239" t="s">
        <v>10</v>
      </c>
      <c r="V91" s="239" t="s">
        <v>10</v>
      </c>
      <c r="W91" s="239" t="s">
        <v>10</v>
      </c>
      <c r="X91" s="239" t="s">
        <v>10</v>
      </c>
      <c r="Y91" s="239" t="s">
        <v>10</v>
      </c>
      <c r="Z91" s="239" t="s">
        <v>10</v>
      </c>
      <c r="AA91" s="239" t="s">
        <v>10</v>
      </c>
      <c r="AB91" s="239" t="s">
        <v>10</v>
      </c>
      <c r="AC91" s="239" t="s">
        <v>10</v>
      </c>
      <c r="AD91" s="239" t="s">
        <v>10</v>
      </c>
      <c r="AE91" s="242" t="s">
        <v>10</v>
      </c>
      <c r="AF91" s="239" t="s">
        <v>10</v>
      </c>
      <c r="AG91" s="239" t="s">
        <v>10</v>
      </c>
      <c r="AH91" s="239" t="s">
        <v>10</v>
      </c>
      <c r="AI91" s="239" t="s">
        <v>10</v>
      </c>
      <c r="AJ91" s="239" t="s">
        <v>10</v>
      </c>
      <c r="AK91" s="239" t="s">
        <v>10</v>
      </c>
      <c r="AL91" s="239" t="s">
        <v>10</v>
      </c>
      <c r="AM91" s="239" t="s">
        <v>10</v>
      </c>
      <c r="AN91" s="239" t="s">
        <v>10</v>
      </c>
      <c r="AO91" s="239" t="s">
        <v>10</v>
      </c>
      <c r="AP91" s="239" t="s">
        <v>10</v>
      </c>
      <c r="AQ91" s="242" t="s">
        <v>10</v>
      </c>
    </row>
    <row r="92" spans="2:43" x14ac:dyDescent="0.3">
      <c r="B92" s="128" t="s">
        <v>96</v>
      </c>
      <c r="C92" s="247">
        <f>ROUND('Tariffs_ref. prices until 2023'!G101,2)</f>
        <v>115.69</v>
      </c>
      <c r="D92" s="239">
        <f>$C$92*D83</f>
        <v>31.37893150684932</v>
      </c>
      <c r="E92" s="239">
        <f t="shared" ref="E92:AP92" si="94">$C$92*E83</f>
        <v>31.727586301369865</v>
      </c>
      <c r="F92" s="239">
        <f t="shared" si="94"/>
        <v>32.076241095890417</v>
      </c>
      <c r="G92" s="242">
        <f t="shared" si="94"/>
        <v>32.076241095890417</v>
      </c>
      <c r="H92" s="239">
        <f t="shared" si="94"/>
        <v>12.282157534246574</v>
      </c>
      <c r="I92" s="239">
        <f t="shared" si="94"/>
        <v>11.093561643835617</v>
      </c>
      <c r="J92" s="239">
        <f t="shared" si="94"/>
        <v>12.282157534246574</v>
      </c>
      <c r="K92" s="239">
        <f t="shared" si="94"/>
        <v>11.885958904109588</v>
      </c>
      <c r="L92" s="239">
        <f t="shared" si="94"/>
        <v>12.282157534246574</v>
      </c>
      <c r="M92" s="239">
        <f t="shared" si="94"/>
        <v>11.885958904109588</v>
      </c>
      <c r="N92" s="239">
        <f t="shared" si="94"/>
        <v>12.282157534246574</v>
      </c>
      <c r="O92" s="239">
        <f t="shared" si="94"/>
        <v>12.282157534246574</v>
      </c>
      <c r="P92" s="239">
        <f t="shared" si="94"/>
        <v>11.885958904109588</v>
      </c>
      <c r="Q92" s="239">
        <f t="shared" si="94"/>
        <v>12.282157534246574</v>
      </c>
      <c r="R92" s="239">
        <f t="shared" si="94"/>
        <v>11.885958904109588</v>
      </c>
      <c r="S92" s="242">
        <f t="shared" si="94"/>
        <v>12.282157534246574</v>
      </c>
      <c r="T92" s="239">
        <f t="shared" si="94"/>
        <v>0.47543835616438362</v>
      </c>
      <c r="U92" s="239">
        <f t="shared" si="94"/>
        <v>0.47543835616438362</v>
      </c>
      <c r="V92" s="239">
        <f t="shared" si="94"/>
        <v>0.47543835616438362</v>
      </c>
      <c r="W92" s="239">
        <f t="shared" si="94"/>
        <v>0.47543835616438362</v>
      </c>
      <c r="X92" s="239">
        <f t="shared" si="94"/>
        <v>0.47543835616438362</v>
      </c>
      <c r="Y92" s="239">
        <f t="shared" si="94"/>
        <v>0.47543835616438362</v>
      </c>
      <c r="Z92" s="239">
        <f t="shared" si="94"/>
        <v>0.47543835616438362</v>
      </c>
      <c r="AA92" s="239">
        <f t="shared" si="94"/>
        <v>0.47543835616438362</v>
      </c>
      <c r="AB92" s="239">
        <f t="shared" si="94"/>
        <v>0.47543835616438362</v>
      </c>
      <c r="AC92" s="239">
        <f t="shared" si="94"/>
        <v>0.47543835616438362</v>
      </c>
      <c r="AD92" s="239">
        <f t="shared" si="94"/>
        <v>0.47543835616438362</v>
      </c>
      <c r="AE92" s="242">
        <f t="shared" si="94"/>
        <v>0.47543835616438362</v>
      </c>
      <c r="AF92" s="239">
        <f t="shared" si="94"/>
        <v>0.47543835616438362</v>
      </c>
      <c r="AG92" s="239">
        <f t="shared" si="94"/>
        <v>0.47543835616438362</v>
      </c>
      <c r="AH92" s="239">
        <f t="shared" si="94"/>
        <v>0.47543835616438362</v>
      </c>
      <c r="AI92" s="239">
        <f t="shared" si="94"/>
        <v>0.47543835616438362</v>
      </c>
      <c r="AJ92" s="239">
        <f t="shared" si="94"/>
        <v>0.47543835616438362</v>
      </c>
      <c r="AK92" s="239">
        <f t="shared" si="94"/>
        <v>0.47543835616438362</v>
      </c>
      <c r="AL92" s="239">
        <f t="shared" si="94"/>
        <v>0.47543835616438362</v>
      </c>
      <c r="AM92" s="239">
        <f t="shared" si="94"/>
        <v>0.47543835616438362</v>
      </c>
      <c r="AN92" s="239">
        <f t="shared" si="94"/>
        <v>0.47543835616438362</v>
      </c>
      <c r="AO92" s="239">
        <f t="shared" si="94"/>
        <v>0.47543835616438362</v>
      </c>
      <c r="AP92" s="239">
        <f t="shared" si="94"/>
        <v>0.47543835616438362</v>
      </c>
      <c r="AQ92" s="242">
        <f t="shared" ref="AQ92" si="95">$C$92*AQ83</f>
        <v>0.47543835616438362</v>
      </c>
    </row>
    <row r="93" spans="2:43" x14ac:dyDescent="0.3">
      <c r="B93" s="128" t="s">
        <v>97</v>
      </c>
      <c r="C93" s="247">
        <f>ROUND('Tariffs_ref. prices until 2023'!G102,2)</f>
        <v>45.66</v>
      </c>
      <c r="D93" s="239">
        <f>$C$93*D84</f>
        <v>22.376527397260272</v>
      </c>
      <c r="E93" s="239">
        <f t="shared" ref="E93:AP93" si="96">$C$93*E84</f>
        <v>9.391573972602739</v>
      </c>
      <c r="F93" s="239">
        <f t="shared" si="96"/>
        <v>9.3509178082191777</v>
      </c>
      <c r="G93" s="242">
        <f t="shared" si="96"/>
        <v>15.824630136986304</v>
      </c>
      <c r="H93" s="239">
        <f>$C$93*H84</f>
        <v>9.4816430136986298</v>
      </c>
      <c r="I93" s="239">
        <f t="shared" si="96"/>
        <v>7.6183397260273971</v>
      </c>
      <c r="J93" s="239">
        <f t="shared" si="96"/>
        <v>9.8888301369863001</v>
      </c>
      <c r="K93" s="239">
        <f t="shared" si="96"/>
        <v>4.1656931506849304</v>
      </c>
      <c r="L93" s="239">
        <f t="shared" si="96"/>
        <v>3.4320057534246571</v>
      </c>
      <c r="M93" s="239">
        <f t="shared" si="96"/>
        <v>3.6590547945205478</v>
      </c>
      <c r="N93" s="239">
        <f t="shared" si="96"/>
        <v>2.5012923287671232</v>
      </c>
      <c r="O93" s="239">
        <f t="shared" si="96"/>
        <v>3.8973624657534249</v>
      </c>
      <c r="P93" s="239">
        <f t="shared" si="96"/>
        <v>4.7286246575342457</v>
      </c>
      <c r="Q93" s="239">
        <f t="shared" si="96"/>
        <v>6.1659764383561644</v>
      </c>
      <c r="R93" s="239">
        <f t="shared" si="96"/>
        <v>6.4174191780821896</v>
      </c>
      <c r="S93" s="242">
        <f t="shared" si="96"/>
        <v>6.4568243835616439</v>
      </c>
      <c r="T93" s="239">
        <f>$C$93*T84</f>
        <v>0.61171890410958896</v>
      </c>
      <c r="U93" s="239">
        <f t="shared" si="96"/>
        <v>0.54416712328767125</v>
      </c>
      <c r="V93" s="239">
        <f t="shared" si="96"/>
        <v>0.6379890410958905</v>
      </c>
      <c r="W93" s="239">
        <f t="shared" si="96"/>
        <v>0.27771287671232875</v>
      </c>
      <c r="X93" s="239">
        <f t="shared" si="96"/>
        <v>0.22141972602739726</v>
      </c>
      <c r="Y93" s="239">
        <f t="shared" si="96"/>
        <v>0.24393698630136987</v>
      </c>
      <c r="Z93" s="239">
        <f t="shared" si="96"/>
        <v>0.16137369863013698</v>
      </c>
      <c r="AA93" s="239">
        <f t="shared" si="96"/>
        <v>0.25144273972602743</v>
      </c>
      <c r="AB93" s="239">
        <f t="shared" si="96"/>
        <v>0.31524164383561643</v>
      </c>
      <c r="AC93" s="239">
        <f t="shared" si="96"/>
        <v>0.39780493150684931</v>
      </c>
      <c r="AD93" s="239">
        <f t="shared" si="96"/>
        <v>0.4278279452054794</v>
      </c>
      <c r="AE93" s="242">
        <f t="shared" si="96"/>
        <v>0.41656931506849321</v>
      </c>
      <c r="AF93" s="239">
        <f t="shared" si="96"/>
        <v>0.61171890410958896</v>
      </c>
      <c r="AG93" s="239">
        <f t="shared" si="96"/>
        <v>0.54416712328767125</v>
      </c>
      <c r="AH93" s="239">
        <f t="shared" si="96"/>
        <v>0.6379890410958905</v>
      </c>
      <c r="AI93" s="239">
        <f t="shared" si="96"/>
        <v>0.27771287671232875</v>
      </c>
      <c r="AJ93" s="239">
        <f t="shared" si="96"/>
        <v>0.22141972602739726</v>
      </c>
      <c r="AK93" s="239">
        <f t="shared" si="96"/>
        <v>0.24393698630136987</v>
      </c>
      <c r="AL93" s="239">
        <f t="shared" si="96"/>
        <v>0.16137369863013698</v>
      </c>
      <c r="AM93" s="239">
        <f t="shared" si="96"/>
        <v>0.25144273972602743</v>
      </c>
      <c r="AN93" s="239">
        <f t="shared" si="96"/>
        <v>0.31524164383561643</v>
      </c>
      <c r="AO93" s="239">
        <f t="shared" si="96"/>
        <v>0.39780493150684931</v>
      </c>
      <c r="AP93" s="239">
        <f t="shared" si="96"/>
        <v>0.4278279452054794</v>
      </c>
      <c r="AQ93" s="242">
        <f t="shared" ref="AQ93" si="97">$C$93*AQ84</f>
        <v>0.41656931506849321</v>
      </c>
    </row>
    <row r="94" spans="2:43" x14ac:dyDescent="0.3">
      <c r="B94" s="318" t="s">
        <v>168</v>
      </c>
      <c r="C94" s="247" t="s">
        <v>10</v>
      </c>
      <c r="D94" s="239" t="s">
        <v>10</v>
      </c>
      <c r="E94" s="239" t="s">
        <v>10</v>
      </c>
      <c r="F94" s="239" t="s">
        <v>10</v>
      </c>
      <c r="G94" s="242" t="s">
        <v>10</v>
      </c>
      <c r="H94" s="239" t="s">
        <v>10</v>
      </c>
      <c r="I94" s="239" t="s">
        <v>10</v>
      </c>
      <c r="J94" s="239" t="s">
        <v>10</v>
      </c>
      <c r="K94" s="239" t="s">
        <v>10</v>
      </c>
      <c r="L94" s="239" t="s">
        <v>10</v>
      </c>
      <c r="M94" s="239" t="s">
        <v>10</v>
      </c>
      <c r="N94" s="239" t="s">
        <v>10</v>
      </c>
      <c r="O94" s="239" t="s">
        <v>10</v>
      </c>
      <c r="P94" s="239" t="s">
        <v>10</v>
      </c>
      <c r="Q94" s="239" t="s">
        <v>10</v>
      </c>
      <c r="R94" s="239" t="s">
        <v>10</v>
      </c>
      <c r="S94" s="242" t="s">
        <v>10</v>
      </c>
      <c r="T94" s="239" t="s">
        <v>10</v>
      </c>
      <c r="U94" s="239" t="s">
        <v>10</v>
      </c>
      <c r="V94" s="239" t="s">
        <v>10</v>
      </c>
      <c r="W94" s="239" t="s">
        <v>10</v>
      </c>
      <c r="X94" s="239" t="s">
        <v>10</v>
      </c>
      <c r="Y94" s="239" t="s">
        <v>10</v>
      </c>
      <c r="Z94" s="239" t="s">
        <v>10</v>
      </c>
      <c r="AA94" s="239" t="s">
        <v>10</v>
      </c>
      <c r="AB94" s="239" t="s">
        <v>10</v>
      </c>
      <c r="AC94" s="239" t="s">
        <v>10</v>
      </c>
      <c r="AD94" s="239" t="s">
        <v>10</v>
      </c>
      <c r="AE94" s="242" t="s">
        <v>10</v>
      </c>
      <c r="AF94" s="239" t="s">
        <v>10</v>
      </c>
      <c r="AG94" s="239" t="s">
        <v>10</v>
      </c>
      <c r="AH94" s="239" t="s">
        <v>10</v>
      </c>
      <c r="AI94" s="239" t="s">
        <v>10</v>
      </c>
      <c r="AJ94" s="239" t="s">
        <v>10</v>
      </c>
      <c r="AK94" s="239" t="s">
        <v>10</v>
      </c>
      <c r="AL94" s="239" t="s">
        <v>10</v>
      </c>
      <c r="AM94" s="239" t="s">
        <v>10</v>
      </c>
      <c r="AN94" s="239" t="s">
        <v>10</v>
      </c>
      <c r="AO94" s="239" t="s">
        <v>10</v>
      </c>
      <c r="AP94" s="239" t="s">
        <v>10</v>
      </c>
      <c r="AQ94" s="242" t="s">
        <v>10</v>
      </c>
    </row>
    <row r="95" spans="2:43" ht="15" thickBot="1" x14ac:dyDescent="0.35">
      <c r="B95" s="290" t="s">
        <v>98</v>
      </c>
      <c r="C95" s="248">
        <f>ROUND('Tariffs_ref. prices until 2023'!G104,2)</f>
        <v>115.69</v>
      </c>
      <c r="D95" s="243">
        <f>$C$95*D86</f>
        <v>58.122339041095884</v>
      </c>
      <c r="E95" s="243">
        <f t="shared" ref="E95:AP95" si="98">$C$95*E86</f>
        <v>25.958934246575343</v>
      </c>
      <c r="F95" s="243">
        <f t="shared" si="98"/>
        <v>15.673617808219179</v>
      </c>
      <c r="G95" s="244">
        <f t="shared" si="98"/>
        <v>44.469334246575343</v>
      </c>
      <c r="H95" s="243">
        <f t="shared" si="98"/>
        <v>28.740248630136985</v>
      </c>
      <c r="I95" s="243">
        <f t="shared" si="98"/>
        <v>19.435919999999996</v>
      </c>
      <c r="J95" s="243">
        <f t="shared" si="98"/>
        <v>21.665725890410958</v>
      </c>
      <c r="K95" s="243">
        <f t="shared" si="98"/>
        <v>12.408941095890411</v>
      </c>
      <c r="L95" s="243">
        <f t="shared" si="98"/>
        <v>10.317012328767122</v>
      </c>
      <c r="M95" s="243">
        <f t="shared" si="98"/>
        <v>8.5578904109589029</v>
      </c>
      <c r="N95" s="243">
        <f t="shared" si="98"/>
        <v>3.8320331506849312</v>
      </c>
      <c r="O95" s="243">
        <f t="shared" si="98"/>
        <v>3.9794190410958907</v>
      </c>
      <c r="P95" s="243">
        <f t="shared" si="98"/>
        <v>10.982626027397259</v>
      </c>
      <c r="Q95" s="243">
        <f t="shared" si="98"/>
        <v>15.917676164383563</v>
      </c>
      <c r="R95" s="243">
        <f t="shared" si="98"/>
        <v>17.115780821917806</v>
      </c>
      <c r="S95" s="244">
        <f t="shared" si="98"/>
        <v>20.19186698630137</v>
      </c>
      <c r="T95" s="243">
        <f t="shared" si="98"/>
        <v>1.8542095890410961</v>
      </c>
      <c r="U95" s="243">
        <f t="shared" si="98"/>
        <v>1.38828</v>
      </c>
      <c r="V95" s="243">
        <f t="shared" si="98"/>
        <v>1.3977887671232878</v>
      </c>
      <c r="W95" s="243">
        <f t="shared" si="98"/>
        <v>0.82726273972602749</v>
      </c>
      <c r="X95" s="243">
        <f t="shared" si="98"/>
        <v>0.66561369863013697</v>
      </c>
      <c r="Y95" s="243">
        <f t="shared" si="98"/>
        <v>0.57052602739726033</v>
      </c>
      <c r="Z95" s="243">
        <f t="shared" si="98"/>
        <v>0.2472279452054795</v>
      </c>
      <c r="AA95" s="243">
        <f t="shared" si="98"/>
        <v>0.25673671232876716</v>
      </c>
      <c r="AB95" s="243">
        <f t="shared" si="98"/>
        <v>0.73217506849315084</v>
      </c>
      <c r="AC95" s="243">
        <f t="shared" si="98"/>
        <v>1.0269468493150686</v>
      </c>
      <c r="AD95" s="243">
        <f t="shared" si="98"/>
        <v>1.1410520547945207</v>
      </c>
      <c r="AE95" s="244">
        <f t="shared" si="98"/>
        <v>1.3027010958904113</v>
      </c>
      <c r="AF95" s="243">
        <f t="shared" si="98"/>
        <v>1.8542095890410961</v>
      </c>
      <c r="AG95" s="243">
        <f t="shared" si="98"/>
        <v>1.38828</v>
      </c>
      <c r="AH95" s="243">
        <f t="shared" si="98"/>
        <v>1.3977887671232878</v>
      </c>
      <c r="AI95" s="243">
        <f t="shared" si="98"/>
        <v>0.82726273972602749</v>
      </c>
      <c r="AJ95" s="243">
        <f t="shared" si="98"/>
        <v>0.66561369863013697</v>
      </c>
      <c r="AK95" s="243">
        <f t="shared" si="98"/>
        <v>0.57052602739726033</v>
      </c>
      <c r="AL95" s="243">
        <f t="shared" si="98"/>
        <v>0.2472279452054795</v>
      </c>
      <c r="AM95" s="243">
        <f t="shared" si="98"/>
        <v>0.25673671232876716</v>
      </c>
      <c r="AN95" s="243">
        <f t="shared" si="98"/>
        <v>0.73217506849315084</v>
      </c>
      <c r="AO95" s="243">
        <f t="shared" si="98"/>
        <v>1.0269468493150686</v>
      </c>
      <c r="AP95" s="243">
        <f t="shared" si="98"/>
        <v>1.1410520547945207</v>
      </c>
      <c r="AQ95" s="244">
        <f t="shared" ref="AQ95" si="99">$C$95*AQ86</f>
        <v>1.3027010958904113</v>
      </c>
    </row>
    <row r="96" spans="2:43" ht="15.6" x14ac:dyDescent="0.3">
      <c r="B96" s="394" t="s">
        <v>160</v>
      </c>
      <c r="C96" s="395"/>
      <c r="D96" s="395"/>
      <c r="E96" s="395"/>
      <c r="F96" s="395"/>
      <c r="G96" s="395"/>
      <c r="H96" s="395"/>
      <c r="I96" s="395"/>
      <c r="J96" s="395"/>
      <c r="K96" s="395"/>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5"/>
      <c r="AN96" s="395"/>
      <c r="AO96" s="395"/>
      <c r="AP96" s="395"/>
      <c r="AQ96" s="395"/>
    </row>
    <row r="97" spans="2:43" x14ac:dyDescent="0.3">
      <c r="B97" s="132"/>
      <c r="C97" s="396" t="s">
        <v>84</v>
      </c>
      <c r="D97" s="399" t="s">
        <v>82</v>
      </c>
      <c r="E97" s="399"/>
      <c r="F97" s="399"/>
      <c r="G97" s="400"/>
      <c r="H97" s="399" t="s">
        <v>83</v>
      </c>
      <c r="I97" s="399"/>
      <c r="J97" s="399"/>
      <c r="K97" s="399"/>
      <c r="L97" s="399"/>
      <c r="M97" s="399"/>
      <c r="N97" s="399"/>
      <c r="O97" s="399"/>
      <c r="P97" s="399"/>
      <c r="Q97" s="399"/>
      <c r="R97" s="399"/>
      <c r="S97" s="400"/>
      <c r="T97" s="399" t="s">
        <v>91</v>
      </c>
      <c r="U97" s="399"/>
      <c r="V97" s="399"/>
      <c r="W97" s="399"/>
      <c r="X97" s="399"/>
      <c r="Y97" s="399"/>
      <c r="Z97" s="399"/>
      <c r="AA97" s="399"/>
      <c r="AB97" s="399"/>
      <c r="AC97" s="399"/>
      <c r="AD97" s="399"/>
      <c r="AE97" s="401"/>
      <c r="AF97" s="402" t="s">
        <v>92</v>
      </c>
      <c r="AG97" s="399"/>
      <c r="AH97" s="399"/>
      <c r="AI97" s="399"/>
      <c r="AJ97" s="399"/>
      <c r="AK97" s="399"/>
      <c r="AL97" s="399"/>
      <c r="AM97" s="399"/>
      <c r="AN97" s="399"/>
      <c r="AO97" s="399"/>
      <c r="AP97" s="399"/>
      <c r="AQ97" s="401"/>
    </row>
    <row r="98" spans="2:43" x14ac:dyDescent="0.3">
      <c r="B98" s="125" t="s">
        <v>81</v>
      </c>
      <c r="C98" s="397"/>
      <c r="D98" s="312" t="s">
        <v>39</v>
      </c>
      <c r="E98" s="313" t="s">
        <v>40</v>
      </c>
      <c r="F98" s="313" t="s">
        <v>41</v>
      </c>
      <c r="G98" s="240" t="s">
        <v>42</v>
      </c>
      <c r="H98" s="312" t="s">
        <v>24</v>
      </c>
      <c r="I98" s="313" t="s">
        <v>25</v>
      </c>
      <c r="J98" s="313" t="s">
        <v>26</v>
      </c>
      <c r="K98" s="313" t="s">
        <v>27</v>
      </c>
      <c r="L98" s="313" t="s">
        <v>17</v>
      </c>
      <c r="M98" s="313" t="s">
        <v>28</v>
      </c>
      <c r="N98" s="313" t="s">
        <v>29</v>
      </c>
      <c r="O98" s="313" t="s">
        <v>30</v>
      </c>
      <c r="P98" s="313" t="s">
        <v>31</v>
      </c>
      <c r="Q98" s="313" t="s">
        <v>32</v>
      </c>
      <c r="R98" s="313" t="s">
        <v>33</v>
      </c>
      <c r="S98" s="240" t="s">
        <v>34</v>
      </c>
      <c r="T98" s="312" t="s">
        <v>24</v>
      </c>
      <c r="U98" s="313" t="s">
        <v>25</v>
      </c>
      <c r="V98" s="313" t="s">
        <v>26</v>
      </c>
      <c r="W98" s="313" t="s">
        <v>27</v>
      </c>
      <c r="X98" s="313" t="s">
        <v>17</v>
      </c>
      <c r="Y98" s="313" t="s">
        <v>28</v>
      </c>
      <c r="Z98" s="313" t="s">
        <v>29</v>
      </c>
      <c r="AA98" s="313" t="s">
        <v>30</v>
      </c>
      <c r="AB98" s="313" t="s">
        <v>31</v>
      </c>
      <c r="AC98" s="313" t="s">
        <v>32</v>
      </c>
      <c r="AD98" s="313" t="s">
        <v>33</v>
      </c>
      <c r="AE98" s="126" t="s">
        <v>34</v>
      </c>
      <c r="AF98" s="313" t="s">
        <v>24</v>
      </c>
      <c r="AG98" s="313" t="s">
        <v>25</v>
      </c>
      <c r="AH98" s="313" t="s">
        <v>26</v>
      </c>
      <c r="AI98" s="313" t="s">
        <v>27</v>
      </c>
      <c r="AJ98" s="313" t="s">
        <v>17</v>
      </c>
      <c r="AK98" s="313" t="s">
        <v>28</v>
      </c>
      <c r="AL98" s="313" t="s">
        <v>29</v>
      </c>
      <c r="AM98" s="313" t="s">
        <v>30</v>
      </c>
      <c r="AN98" s="313" t="s">
        <v>31</v>
      </c>
      <c r="AO98" s="313" t="s">
        <v>32</v>
      </c>
      <c r="AP98" s="313" t="s">
        <v>33</v>
      </c>
      <c r="AQ98" s="126" t="s">
        <v>34</v>
      </c>
    </row>
    <row r="99" spans="2:43" x14ac:dyDescent="0.3">
      <c r="B99" s="125" t="s">
        <v>80</v>
      </c>
      <c r="C99" s="397"/>
      <c r="D99" s="238">
        <f>1/$C$14*D14*$D$23</f>
        <v>0.27123287671232882</v>
      </c>
      <c r="E99" s="238">
        <f>1/$C$14*E14*$D$23</f>
        <v>0.27424657534246577</v>
      </c>
      <c r="F99" s="238">
        <f t="shared" ref="F99:G99" si="100">1/$C$14*F14*$D$23</f>
        <v>0.27726027397260278</v>
      </c>
      <c r="G99" s="241">
        <f t="shared" si="100"/>
        <v>0.27726027397260278</v>
      </c>
      <c r="H99" s="238">
        <f>1/$C$14*H14*$E$23</f>
        <v>0.10616438356164383</v>
      </c>
      <c r="I99" s="238">
        <f t="shared" ref="I99:S99" si="101">1/$C$14*I14*$E$23</f>
        <v>9.5890410958904118E-2</v>
      </c>
      <c r="J99" s="238">
        <f t="shared" si="101"/>
        <v>0.10616438356164383</v>
      </c>
      <c r="K99" s="238">
        <f t="shared" si="101"/>
        <v>0.10273972602739725</v>
      </c>
      <c r="L99" s="238">
        <f t="shared" si="101"/>
        <v>0.10616438356164383</v>
      </c>
      <c r="M99" s="238">
        <f t="shared" si="101"/>
        <v>0.10273972602739725</v>
      </c>
      <c r="N99" s="238">
        <f t="shared" si="101"/>
        <v>0.10616438356164383</v>
      </c>
      <c r="O99" s="238">
        <f t="shared" si="101"/>
        <v>0.10616438356164383</v>
      </c>
      <c r="P99" s="238">
        <f t="shared" si="101"/>
        <v>0.10273972602739725</v>
      </c>
      <c r="Q99" s="238">
        <f t="shared" si="101"/>
        <v>0.10616438356164383</v>
      </c>
      <c r="R99" s="238">
        <f t="shared" si="101"/>
        <v>0.10273972602739725</v>
      </c>
      <c r="S99" s="241">
        <f t="shared" si="101"/>
        <v>0.10616438356164383</v>
      </c>
      <c r="T99" s="238">
        <f>1/$C$14*$F$23</f>
        <v>4.1095890410958909E-3</v>
      </c>
      <c r="U99" s="238">
        <f t="shared" ref="U99:AE99" si="102">1/$C$14*$F$23</f>
        <v>4.1095890410958909E-3</v>
      </c>
      <c r="V99" s="238">
        <f t="shared" si="102"/>
        <v>4.1095890410958909E-3</v>
      </c>
      <c r="W99" s="238">
        <f t="shared" si="102"/>
        <v>4.1095890410958909E-3</v>
      </c>
      <c r="X99" s="238">
        <f t="shared" si="102"/>
        <v>4.1095890410958909E-3</v>
      </c>
      <c r="Y99" s="238">
        <f t="shared" si="102"/>
        <v>4.1095890410958909E-3</v>
      </c>
      <c r="Z99" s="238">
        <f t="shared" si="102"/>
        <v>4.1095890410958909E-3</v>
      </c>
      <c r="AA99" s="238">
        <f t="shared" si="102"/>
        <v>4.1095890410958909E-3</v>
      </c>
      <c r="AB99" s="238">
        <f t="shared" si="102"/>
        <v>4.1095890410958909E-3</v>
      </c>
      <c r="AC99" s="238">
        <f t="shared" si="102"/>
        <v>4.1095890410958909E-3</v>
      </c>
      <c r="AD99" s="238">
        <f t="shared" si="102"/>
        <v>4.1095890410958909E-3</v>
      </c>
      <c r="AE99" s="241">
        <f t="shared" si="102"/>
        <v>4.1095890410958909E-3</v>
      </c>
      <c r="AF99" s="238">
        <f>1/$C$14*$G$23</f>
        <v>4.1095890410958909E-3</v>
      </c>
      <c r="AG99" s="124">
        <f t="shared" ref="AG99:AQ99" si="103">1/$C$14*$G$23</f>
        <v>4.1095890410958909E-3</v>
      </c>
      <c r="AH99" s="124">
        <f t="shared" si="103"/>
        <v>4.1095890410958909E-3</v>
      </c>
      <c r="AI99" s="124">
        <f t="shared" si="103"/>
        <v>4.1095890410958909E-3</v>
      </c>
      <c r="AJ99" s="124">
        <f t="shared" si="103"/>
        <v>4.1095890410958909E-3</v>
      </c>
      <c r="AK99" s="124">
        <f t="shared" si="103"/>
        <v>4.1095890410958909E-3</v>
      </c>
      <c r="AL99" s="124">
        <f t="shared" si="103"/>
        <v>4.1095890410958909E-3</v>
      </c>
      <c r="AM99" s="124">
        <f t="shared" si="103"/>
        <v>4.1095890410958909E-3</v>
      </c>
      <c r="AN99" s="124">
        <f t="shared" si="103"/>
        <v>4.1095890410958909E-3</v>
      </c>
      <c r="AO99" s="124">
        <f t="shared" si="103"/>
        <v>4.1095890410958909E-3</v>
      </c>
      <c r="AP99" s="124">
        <f t="shared" si="103"/>
        <v>4.1095890410958909E-3</v>
      </c>
      <c r="AQ99" s="241">
        <f t="shared" si="103"/>
        <v>4.1095890410958909E-3</v>
      </c>
    </row>
    <row r="100" spans="2:43" x14ac:dyDescent="0.3">
      <c r="B100" s="125" t="s">
        <v>96</v>
      </c>
      <c r="C100" s="397"/>
      <c r="D100" s="238">
        <f>1/$C$14*D14*$H$23</f>
        <v>0.27123287671232882</v>
      </c>
      <c r="E100" s="238">
        <f t="shared" ref="E100:G100" si="104">1/$C$14*E14*$H$23</f>
        <v>0.27424657534246577</v>
      </c>
      <c r="F100" s="238">
        <f t="shared" si="104"/>
        <v>0.27726027397260278</v>
      </c>
      <c r="G100" s="241">
        <f t="shared" si="104"/>
        <v>0.27726027397260278</v>
      </c>
      <c r="H100" s="238">
        <f>1/$C$14*H14*$I$23</f>
        <v>0.10616438356164383</v>
      </c>
      <c r="I100" s="238">
        <f t="shared" ref="I100:S100" si="105">1/$C$14*I14*$I$23</f>
        <v>9.5890410958904118E-2</v>
      </c>
      <c r="J100" s="238">
        <f t="shared" si="105"/>
        <v>0.10616438356164383</v>
      </c>
      <c r="K100" s="238">
        <f t="shared" si="105"/>
        <v>0.10273972602739725</v>
      </c>
      <c r="L100" s="238">
        <f t="shared" si="105"/>
        <v>0.10616438356164383</v>
      </c>
      <c r="M100" s="238">
        <f t="shared" si="105"/>
        <v>0.10273972602739725</v>
      </c>
      <c r="N100" s="238">
        <f t="shared" si="105"/>
        <v>0.10616438356164383</v>
      </c>
      <c r="O100" s="238">
        <f t="shared" si="105"/>
        <v>0.10616438356164383</v>
      </c>
      <c r="P100" s="238">
        <f t="shared" si="105"/>
        <v>0.10273972602739725</v>
      </c>
      <c r="Q100" s="238">
        <f t="shared" si="105"/>
        <v>0.10616438356164383</v>
      </c>
      <c r="R100" s="238">
        <f t="shared" si="105"/>
        <v>0.10273972602739725</v>
      </c>
      <c r="S100" s="241">
        <f t="shared" si="105"/>
        <v>0.10616438356164383</v>
      </c>
      <c r="T100" s="238">
        <f>1/$C$14*$J$23</f>
        <v>4.1095890410958909E-3</v>
      </c>
      <c r="U100" s="238">
        <f t="shared" ref="U100:AE100" si="106">1/$C$14*$J$23</f>
        <v>4.1095890410958909E-3</v>
      </c>
      <c r="V100" s="238">
        <f t="shared" si="106"/>
        <v>4.1095890410958909E-3</v>
      </c>
      <c r="W100" s="238">
        <f t="shared" si="106"/>
        <v>4.1095890410958909E-3</v>
      </c>
      <c r="X100" s="238">
        <f t="shared" si="106"/>
        <v>4.1095890410958909E-3</v>
      </c>
      <c r="Y100" s="238">
        <f t="shared" si="106"/>
        <v>4.1095890410958909E-3</v>
      </c>
      <c r="Z100" s="238">
        <f t="shared" si="106"/>
        <v>4.1095890410958909E-3</v>
      </c>
      <c r="AA100" s="238">
        <f t="shared" si="106"/>
        <v>4.1095890410958909E-3</v>
      </c>
      <c r="AB100" s="238">
        <f t="shared" si="106"/>
        <v>4.1095890410958909E-3</v>
      </c>
      <c r="AC100" s="238">
        <f t="shared" si="106"/>
        <v>4.1095890410958909E-3</v>
      </c>
      <c r="AD100" s="238">
        <f t="shared" si="106"/>
        <v>4.1095890410958909E-3</v>
      </c>
      <c r="AE100" s="241">
        <f t="shared" si="106"/>
        <v>4.1095890410958909E-3</v>
      </c>
      <c r="AF100" s="238">
        <f>1/$C$14*$K$23</f>
        <v>4.1095890410958909E-3</v>
      </c>
      <c r="AG100" s="124">
        <f t="shared" ref="AG100:AQ100" si="107">1/$C$14*$K$23</f>
        <v>4.1095890410958909E-3</v>
      </c>
      <c r="AH100" s="124">
        <f t="shared" si="107"/>
        <v>4.1095890410958909E-3</v>
      </c>
      <c r="AI100" s="124">
        <f t="shared" si="107"/>
        <v>4.1095890410958909E-3</v>
      </c>
      <c r="AJ100" s="124">
        <f t="shared" si="107"/>
        <v>4.1095890410958909E-3</v>
      </c>
      <c r="AK100" s="124">
        <f t="shared" si="107"/>
        <v>4.1095890410958909E-3</v>
      </c>
      <c r="AL100" s="124">
        <f t="shared" si="107"/>
        <v>4.1095890410958909E-3</v>
      </c>
      <c r="AM100" s="124">
        <f t="shared" si="107"/>
        <v>4.1095890410958909E-3</v>
      </c>
      <c r="AN100" s="124">
        <f t="shared" si="107"/>
        <v>4.1095890410958909E-3</v>
      </c>
      <c r="AO100" s="124">
        <f t="shared" si="107"/>
        <v>4.1095890410958909E-3</v>
      </c>
      <c r="AP100" s="124">
        <f t="shared" si="107"/>
        <v>4.1095890410958909E-3</v>
      </c>
      <c r="AQ100" s="241">
        <f t="shared" si="107"/>
        <v>4.1095890410958909E-3</v>
      </c>
    </row>
    <row r="101" spans="2:43" x14ac:dyDescent="0.3">
      <c r="B101" s="125" t="s">
        <v>97</v>
      </c>
      <c r="C101" s="397"/>
      <c r="D101" s="238">
        <f>1/$C$14*D14*$L$23*D41</f>
        <v>0.49006849315068496</v>
      </c>
      <c r="E101" s="238">
        <f t="shared" ref="E101:G101" si="108">1/$C$14*E14*$L$23*E41</f>
        <v>0.20568493150684933</v>
      </c>
      <c r="F101" s="238">
        <f t="shared" si="108"/>
        <v>0.20479452054794522</v>
      </c>
      <c r="G101" s="241">
        <f t="shared" si="108"/>
        <v>0.3465753424657535</v>
      </c>
      <c r="H101" s="238">
        <f>1/$C$14*H14*$M$23*H41</f>
        <v>0.20765753424657535</v>
      </c>
      <c r="I101" s="238">
        <f t="shared" ref="I101:S101" si="109">1/$C$14*I14*$M$23*I41</f>
        <v>0.16684931506849315</v>
      </c>
      <c r="J101" s="238">
        <f t="shared" si="109"/>
        <v>0.21657534246575341</v>
      </c>
      <c r="K101" s="238">
        <f t="shared" si="109"/>
        <v>9.1232876712328756E-2</v>
      </c>
      <c r="L101" s="238">
        <f t="shared" si="109"/>
        <v>7.516438356164383E-2</v>
      </c>
      <c r="M101" s="238">
        <f t="shared" si="109"/>
        <v>8.0136986301369867E-2</v>
      </c>
      <c r="N101" s="238">
        <f t="shared" si="109"/>
        <v>5.4780821917808219E-2</v>
      </c>
      <c r="O101" s="238">
        <f t="shared" si="109"/>
        <v>8.5356164383561653E-2</v>
      </c>
      <c r="P101" s="238">
        <f t="shared" si="109"/>
        <v>0.10356164383561643</v>
      </c>
      <c r="Q101" s="238">
        <f t="shared" si="109"/>
        <v>0.13504109589041097</v>
      </c>
      <c r="R101" s="238">
        <f t="shared" si="109"/>
        <v>0.14054794520547942</v>
      </c>
      <c r="S101" s="241">
        <f t="shared" si="109"/>
        <v>0.1414109589041096</v>
      </c>
      <c r="T101" s="238">
        <f>1/$C$14*$N$23*T41</f>
        <v>1.3397260273972603E-2</v>
      </c>
      <c r="U101" s="238">
        <f t="shared" ref="U101:AE101" si="110">1/$C$14*$N$23*U41</f>
        <v>1.1917808219178084E-2</v>
      </c>
      <c r="V101" s="238">
        <f t="shared" si="110"/>
        <v>1.3972602739726029E-2</v>
      </c>
      <c r="W101" s="238">
        <f t="shared" si="110"/>
        <v>6.0821917808219182E-3</v>
      </c>
      <c r="X101" s="238">
        <f t="shared" si="110"/>
        <v>4.8493150684931511E-3</v>
      </c>
      <c r="Y101" s="238">
        <f t="shared" si="110"/>
        <v>5.342465753424658E-3</v>
      </c>
      <c r="Z101" s="238">
        <f t="shared" si="110"/>
        <v>3.5342465753424659E-3</v>
      </c>
      <c r="AA101" s="238">
        <f t="shared" si="110"/>
        <v>5.5068493150684942E-3</v>
      </c>
      <c r="AB101" s="238">
        <f t="shared" si="110"/>
        <v>6.9041095890410966E-3</v>
      </c>
      <c r="AC101" s="238">
        <f t="shared" si="110"/>
        <v>8.7123287671232886E-3</v>
      </c>
      <c r="AD101" s="238">
        <f t="shared" si="110"/>
        <v>9.3698630136986299E-3</v>
      </c>
      <c r="AE101" s="241">
        <f t="shared" si="110"/>
        <v>9.1232876712328791E-3</v>
      </c>
      <c r="AF101" s="238">
        <f>T101</f>
        <v>1.3397260273972603E-2</v>
      </c>
      <c r="AG101" s="124">
        <f t="shared" ref="AG101:AG103" si="111">U101</f>
        <v>1.1917808219178084E-2</v>
      </c>
      <c r="AH101" s="124">
        <f t="shared" ref="AH101:AH103" si="112">V101</f>
        <v>1.3972602739726029E-2</v>
      </c>
      <c r="AI101" s="124">
        <f t="shared" ref="AI101:AI103" si="113">W101</f>
        <v>6.0821917808219182E-3</v>
      </c>
      <c r="AJ101" s="124">
        <f t="shared" ref="AJ101:AJ103" si="114">X101</f>
        <v>4.8493150684931511E-3</v>
      </c>
      <c r="AK101" s="124">
        <f t="shared" ref="AK101:AK103" si="115">Y101</f>
        <v>5.342465753424658E-3</v>
      </c>
      <c r="AL101" s="124">
        <f t="shared" ref="AL101:AL103" si="116">Z101</f>
        <v>3.5342465753424659E-3</v>
      </c>
      <c r="AM101" s="124">
        <f t="shared" ref="AM101:AM103" si="117">AA101</f>
        <v>5.5068493150684942E-3</v>
      </c>
      <c r="AN101" s="124">
        <f t="shared" ref="AN101:AN103" si="118">AB101</f>
        <v>6.9041095890410966E-3</v>
      </c>
      <c r="AO101" s="124">
        <f t="shared" ref="AO101:AO103" si="119">AC101</f>
        <v>8.7123287671232886E-3</v>
      </c>
      <c r="AP101" s="124">
        <f t="shared" ref="AP101:AP103" si="120">AD101</f>
        <v>9.3698630136986299E-3</v>
      </c>
      <c r="AQ101" s="241">
        <f>AE101</f>
        <v>9.1232876712328791E-3</v>
      </c>
    </row>
    <row r="102" spans="2:43" x14ac:dyDescent="0.3">
      <c r="B102" s="340" t="s">
        <v>174</v>
      </c>
      <c r="C102" s="397"/>
      <c r="D102" s="238">
        <f>D100</f>
        <v>0.27123287671232882</v>
      </c>
      <c r="E102" s="238">
        <f t="shared" ref="E102:AQ102" si="121">E100</f>
        <v>0.27424657534246577</v>
      </c>
      <c r="F102" s="238">
        <f t="shared" si="121"/>
        <v>0.27726027397260278</v>
      </c>
      <c r="G102" s="241">
        <f t="shared" si="121"/>
        <v>0.27726027397260278</v>
      </c>
      <c r="H102" s="238">
        <f t="shared" si="121"/>
        <v>0.10616438356164383</v>
      </c>
      <c r="I102" s="238">
        <f t="shared" si="121"/>
        <v>9.5890410958904118E-2</v>
      </c>
      <c r="J102" s="238">
        <f t="shared" si="121"/>
        <v>0.10616438356164383</v>
      </c>
      <c r="K102" s="238">
        <f t="shared" si="121"/>
        <v>0.10273972602739725</v>
      </c>
      <c r="L102" s="238">
        <f t="shared" si="121"/>
        <v>0.10616438356164383</v>
      </c>
      <c r="M102" s="238">
        <f t="shared" si="121"/>
        <v>0.10273972602739725</v>
      </c>
      <c r="N102" s="238">
        <f t="shared" si="121"/>
        <v>0.10616438356164383</v>
      </c>
      <c r="O102" s="238">
        <f t="shared" si="121"/>
        <v>0.10616438356164383</v>
      </c>
      <c r="P102" s="238">
        <f t="shared" si="121"/>
        <v>0.10273972602739725</v>
      </c>
      <c r="Q102" s="238">
        <f t="shared" si="121"/>
        <v>0.10616438356164383</v>
      </c>
      <c r="R102" s="238">
        <f t="shared" si="121"/>
        <v>0.10273972602739725</v>
      </c>
      <c r="S102" s="241">
        <f t="shared" si="121"/>
        <v>0.10616438356164383</v>
      </c>
      <c r="T102" s="238">
        <f t="shared" si="121"/>
        <v>4.1095890410958909E-3</v>
      </c>
      <c r="U102" s="238">
        <f t="shared" si="121"/>
        <v>4.1095890410958909E-3</v>
      </c>
      <c r="V102" s="238">
        <f t="shared" si="121"/>
        <v>4.1095890410958909E-3</v>
      </c>
      <c r="W102" s="238">
        <f t="shared" si="121"/>
        <v>4.1095890410958909E-3</v>
      </c>
      <c r="X102" s="238">
        <f t="shared" si="121"/>
        <v>4.1095890410958909E-3</v>
      </c>
      <c r="Y102" s="238">
        <f t="shared" si="121"/>
        <v>4.1095890410958909E-3</v>
      </c>
      <c r="Z102" s="238">
        <f t="shared" si="121"/>
        <v>4.1095890410958909E-3</v>
      </c>
      <c r="AA102" s="238">
        <f t="shared" si="121"/>
        <v>4.1095890410958909E-3</v>
      </c>
      <c r="AB102" s="238">
        <f t="shared" si="121"/>
        <v>4.1095890410958909E-3</v>
      </c>
      <c r="AC102" s="238">
        <f t="shared" si="121"/>
        <v>4.1095890410958909E-3</v>
      </c>
      <c r="AD102" s="238">
        <f t="shared" si="121"/>
        <v>4.1095890410958909E-3</v>
      </c>
      <c r="AE102" s="241">
        <f t="shared" si="121"/>
        <v>4.1095890410958909E-3</v>
      </c>
      <c r="AF102" s="238">
        <f>AF100</f>
        <v>4.1095890410958909E-3</v>
      </c>
      <c r="AG102" s="238">
        <f t="shared" si="121"/>
        <v>4.1095890410958909E-3</v>
      </c>
      <c r="AH102" s="238">
        <f>AH100</f>
        <v>4.1095890410958909E-3</v>
      </c>
      <c r="AI102" s="238">
        <f t="shared" si="121"/>
        <v>4.1095890410958909E-3</v>
      </c>
      <c r="AJ102" s="238">
        <f t="shared" si="121"/>
        <v>4.1095890410958909E-3</v>
      </c>
      <c r="AK102" s="238">
        <f t="shared" si="121"/>
        <v>4.1095890410958909E-3</v>
      </c>
      <c r="AL102" s="238">
        <f t="shared" si="121"/>
        <v>4.1095890410958909E-3</v>
      </c>
      <c r="AM102" s="238">
        <f t="shared" si="121"/>
        <v>4.1095890410958909E-3</v>
      </c>
      <c r="AN102" s="238">
        <f t="shared" si="121"/>
        <v>4.1095890410958909E-3</v>
      </c>
      <c r="AO102" s="238">
        <f t="shared" si="121"/>
        <v>4.1095890410958909E-3</v>
      </c>
      <c r="AP102" s="238">
        <f t="shared" si="121"/>
        <v>4.1095890410958909E-3</v>
      </c>
      <c r="AQ102" s="241">
        <f t="shared" si="121"/>
        <v>4.1095890410958909E-3</v>
      </c>
    </row>
    <row r="103" spans="2:43" x14ac:dyDescent="0.3">
      <c r="B103" s="125" t="s">
        <v>11</v>
      </c>
      <c r="C103" s="398"/>
      <c r="D103" s="238">
        <f>1/$C$14*D14*$L$23*D33</f>
        <v>0.50239726027397258</v>
      </c>
      <c r="E103" s="238">
        <f t="shared" ref="E103:F103" si="122">1/$C$14*E14*$L$23*E33</f>
        <v>0.22438356164383563</v>
      </c>
      <c r="F103" s="238">
        <f t="shared" si="122"/>
        <v>0.13547945205479453</v>
      </c>
      <c r="G103" s="241">
        <f>1/$C$14*G14*$L$23*G33</f>
        <v>0.38438356164383564</v>
      </c>
      <c r="H103" s="238">
        <f>1/$C$14*H14*$M$23*H33</f>
        <v>0.24842465753424658</v>
      </c>
      <c r="I103" s="238">
        <f t="shared" ref="I103:R103" si="123">1/$C$14*I14*$M$23*I33</f>
        <v>0.16799999999999998</v>
      </c>
      <c r="J103" s="238">
        <f t="shared" si="123"/>
        <v>0.18727397260273973</v>
      </c>
      <c r="K103" s="238">
        <f t="shared" si="123"/>
        <v>0.10726027397260274</v>
      </c>
      <c r="L103" s="238">
        <f t="shared" si="123"/>
        <v>8.9178082191780819E-2</v>
      </c>
      <c r="M103" s="238">
        <f t="shared" si="123"/>
        <v>7.3972602739726015E-2</v>
      </c>
      <c r="N103" s="238">
        <f t="shared" si="123"/>
        <v>3.3123287671232876E-2</v>
      </c>
      <c r="O103" s="238">
        <f t="shared" si="123"/>
        <v>3.4397260273972607E-2</v>
      </c>
      <c r="P103" s="238">
        <f t="shared" si="123"/>
        <v>9.4931506849315062E-2</v>
      </c>
      <c r="Q103" s="238">
        <f t="shared" si="123"/>
        <v>0.13758904109589043</v>
      </c>
      <c r="R103" s="238">
        <f t="shared" si="123"/>
        <v>0.14794520547945203</v>
      </c>
      <c r="S103" s="241">
        <f>1/$C$14*S14*$M$23*S33</f>
        <v>0.17453424657534247</v>
      </c>
      <c r="T103" s="238">
        <f>1/$C$14*$N$23*T33</f>
        <v>1.6027397260273975E-2</v>
      </c>
      <c r="U103" s="238">
        <f t="shared" ref="U103:AE103" si="124">1/$C$14*$N$23*U33</f>
        <v>1.2E-2</v>
      </c>
      <c r="V103" s="238">
        <f t="shared" si="124"/>
        <v>1.2082191780821918E-2</v>
      </c>
      <c r="W103" s="238">
        <f t="shared" si="124"/>
        <v>7.15068493150685E-3</v>
      </c>
      <c r="X103" s="238">
        <f t="shared" si="124"/>
        <v>5.7534246575342467E-3</v>
      </c>
      <c r="Y103" s="238">
        <f t="shared" si="124"/>
        <v>4.9315068493150692E-3</v>
      </c>
      <c r="Z103" s="238">
        <f t="shared" si="124"/>
        <v>2.1369863013698635E-3</v>
      </c>
      <c r="AA103" s="238">
        <f t="shared" si="124"/>
        <v>2.2191780821917812E-3</v>
      </c>
      <c r="AB103" s="238">
        <f t="shared" si="124"/>
        <v>6.3287671232876725E-3</v>
      </c>
      <c r="AC103" s="238">
        <f t="shared" si="124"/>
        <v>8.8767123287671248E-3</v>
      </c>
      <c r="AD103" s="238">
        <f t="shared" si="124"/>
        <v>9.8630136986301385E-3</v>
      </c>
      <c r="AE103" s="241">
        <f t="shared" si="124"/>
        <v>1.1260273972602743E-2</v>
      </c>
      <c r="AF103" s="238">
        <f>T103</f>
        <v>1.6027397260273975E-2</v>
      </c>
      <c r="AG103" s="124">
        <f t="shared" si="111"/>
        <v>1.2E-2</v>
      </c>
      <c r="AH103" s="124">
        <f t="shared" si="112"/>
        <v>1.2082191780821918E-2</v>
      </c>
      <c r="AI103" s="124">
        <f t="shared" si="113"/>
        <v>7.15068493150685E-3</v>
      </c>
      <c r="AJ103" s="124">
        <f t="shared" si="114"/>
        <v>5.7534246575342467E-3</v>
      </c>
      <c r="AK103" s="124">
        <f t="shared" si="115"/>
        <v>4.9315068493150692E-3</v>
      </c>
      <c r="AL103" s="124">
        <f t="shared" si="116"/>
        <v>2.1369863013698635E-3</v>
      </c>
      <c r="AM103" s="124">
        <f t="shared" si="117"/>
        <v>2.2191780821917812E-3</v>
      </c>
      <c r="AN103" s="124">
        <f t="shared" si="118"/>
        <v>6.3287671232876725E-3</v>
      </c>
      <c r="AO103" s="124">
        <f t="shared" si="119"/>
        <v>8.8767123287671248E-3</v>
      </c>
      <c r="AP103" s="124">
        <f t="shared" si="120"/>
        <v>9.8630136986301385E-3</v>
      </c>
      <c r="AQ103" s="241">
        <f>AE103</f>
        <v>1.1260273972602743E-2</v>
      </c>
    </row>
    <row r="104" spans="2:43" x14ac:dyDescent="0.3">
      <c r="B104" s="128" t="s">
        <v>93</v>
      </c>
      <c r="C104" s="247">
        <f>ROUND('Tariffs_ref. prices until 2023'!H96,2)</f>
        <v>142.77000000000001</v>
      </c>
      <c r="D104" s="239">
        <f>$C$104*D99</f>
        <v>38.723917808219191</v>
      </c>
      <c r="E104" s="239">
        <f t="shared" ref="E104:AQ104" si="125">$C$104*E99</f>
        <v>39.154183561643841</v>
      </c>
      <c r="F104" s="239">
        <f t="shared" si="125"/>
        <v>39.584449315068504</v>
      </c>
      <c r="G104" s="242">
        <f t="shared" si="125"/>
        <v>39.584449315068504</v>
      </c>
      <c r="H104" s="239">
        <f t="shared" si="125"/>
        <v>15.15708904109589</v>
      </c>
      <c r="I104" s="239">
        <f t="shared" si="125"/>
        <v>13.690273972602743</v>
      </c>
      <c r="J104" s="239">
        <f t="shared" si="125"/>
        <v>15.15708904109589</v>
      </c>
      <c r="K104" s="239">
        <f t="shared" si="125"/>
        <v>14.668150684931508</v>
      </c>
      <c r="L104" s="239">
        <f t="shared" si="125"/>
        <v>15.15708904109589</v>
      </c>
      <c r="M104" s="239">
        <f t="shared" si="125"/>
        <v>14.668150684931508</v>
      </c>
      <c r="N104" s="239">
        <f t="shared" si="125"/>
        <v>15.15708904109589</v>
      </c>
      <c r="O104" s="239">
        <f t="shared" si="125"/>
        <v>15.15708904109589</v>
      </c>
      <c r="P104" s="239">
        <f t="shared" si="125"/>
        <v>14.668150684931508</v>
      </c>
      <c r="Q104" s="239">
        <f t="shared" si="125"/>
        <v>15.15708904109589</v>
      </c>
      <c r="R104" s="239">
        <f t="shared" si="125"/>
        <v>14.668150684931508</v>
      </c>
      <c r="S104" s="242">
        <f t="shared" si="125"/>
        <v>15.15708904109589</v>
      </c>
      <c r="T104" s="239">
        <f t="shared" si="125"/>
        <v>0.58672602739726043</v>
      </c>
      <c r="U104" s="239">
        <f t="shared" si="125"/>
        <v>0.58672602739726043</v>
      </c>
      <c r="V104" s="239">
        <f t="shared" si="125"/>
        <v>0.58672602739726043</v>
      </c>
      <c r="W104" s="239">
        <f t="shared" si="125"/>
        <v>0.58672602739726043</v>
      </c>
      <c r="X104" s="239">
        <f t="shared" si="125"/>
        <v>0.58672602739726043</v>
      </c>
      <c r="Y104" s="239">
        <f t="shared" si="125"/>
        <v>0.58672602739726043</v>
      </c>
      <c r="Z104" s="239">
        <f t="shared" si="125"/>
        <v>0.58672602739726043</v>
      </c>
      <c r="AA104" s="239">
        <f t="shared" si="125"/>
        <v>0.58672602739726043</v>
      </c>
      <c r="AB104" s="239">
        <f t="shared" si="125"/>
        <v>0.58672602739726043</v>
      </c>
      <c r="AC104" s="239">
        <f t="shared" si="125"/>
        <v>0.58672602739726043</v>
      </c>
      <c r="AD104" s="239">
        <f t="shared" si="125"/>
        <v>0.58672602739726043</v>
      </c>
      <c r="AE104" s="242">
        <f t="shared" si="125"/>
        <v>0.58672602739726043</v>
      </c>
      <c r="AF104" s="239">
        <f t="shared" si="125"/>
        <v>0.58672602739726043</v>
      </c>
      <c r="AG104" s="239">
        <f t="shared" si="125"/>
        <v>0.58672602739726043</v>
      </c>
      <c r="AH104" s="239">
        <f t="shared" si="125"/>
        <v>0.58672602739726043</v>
      </c>
      <c r="AI104" s="239">
        <f t="shared" si="125"/>
        <v>0.58672602739726043</v>
      </c>
      <c r="AJ104" s="239">
        <f t="shared" si="125"/>
        <v>0.58672602739726043</v>
      </c>
      <c r="AK104" s="239">
        <f t="shared" si="125"/>
        <v>0.58672602739726043</v>
      </c>
      <c r="AL104" s="239">
        <f t="shared" si="125"/>
        <v>0.58672602739726043</v>
      </c>
      <c r="AM104" s="239">
        <f t="shared" si="125"/>
        <v>0.58672602739726043</v>
      </c>
      <c r="AN104" s="239">
        <f t="shared" si="125"/>
        <v>0.58672602739726043</v>
      </c>
      <c r="AO104" s="239">
        <f t="shared" si="125"/>
        <v>0.58672602739726043</v>
      </c>
      <c r="AP104" s="239">
        <f t="shared" si="125"/>
        <v>0.58672602739726043</v>
      </c>
      <c r="AQ104" s="242">
        <f t="shared" si="125"/>
        <v>0.58672602739726043</v>
      </c>
    </row>
    <row r="105" spans="2:43" x14ac:dyDescent="0.3">
      <c r="B105" s="128" t="s">
        <v>138</v>
      </c>
      <c r="C105" s="247">
        <f>ROUND('Tariffs_ref. prices until 2023'!H97,2)</f>
        <v>29.24</v>
      </c>
      <c r="D105" s="239">
        <f>$C$105*D99</f>
        <v>7.9308493150684942</v>
      </c>
      <c r="E105" s="239">
        <f t="shared" ref="E105:AQ105" si="126">$C$105*E99</f>
        <v>8.0189698630136981</v>
      </c>
      <c r="F105" s="239">
        <f t="shared" si="126"/>
        <v>8.1070904109589055</v>
      </c>
      <c r="G105" s="242">
        <f t="shared" si="126"/>
        <v>8.1070904109589055</v>
      </c>
      <c r="H105" s="239">
        <f t="shared" si="126"/>
        <v>3.1042465753424655</v>
      </c>
      <c r="I105" s="239">
        <f t="shared" si="126"/>
        <v>2.8038356164383562</v>
      </c>
      <c r="J105" s="239">
        <f t="shared" si="126"/>
        <v>3.1042465753424655</v>
      </c>
      <c r="K105" s="239">
        <f t="shared" si="126"/>
        <v>3.0041095890410956</v>
      </c>
      <c r="L105" s="239">
        <f t="shared" si="126"/>
        <v>3.1042465753424655</v>
      </c>
      <c r="M105" s="239">
        <f t="shared" si="126"/>
        <v>3.0041095890410956</v>
      </c>
      <c r="N105" s="239">
        <f t="shared" si="126"/>
        <v>3.1042465753424655</v>
      </c>
      <c r="O105" s="239">
        <f t="shared" si="126"/>
        <v>3.1042465753424655</v>
      </c>
      <c r="P105" s="239">
        <f t="shared" si="126"/>
        <v>3.0041095890410956</v>
      </c>
      <c r="Q105" s="239">
        <f t="shared" si="126"/>
        <v>3.1042465753424655</v>
      </c>
      <c r="R105" s="239">
        <f t="shared" si="126"/>
        <v>3.0041095890410956</v>
      </c>
      <c r="S105" s="242">
        <f t="shared" si="126"/>
        <v>3.1042465753424655</v>
      </c>
      <c r="T105" s="239">
        <f t="shared" si="126"/>
        <v>0.12016438356164384</v>
      </c>
      <c r="U105" s="239">
        <f t="shared" si="126"/>
        <v>0.12016438356164384</v>
      </c>
      <c r="V105" s="239">
        <f t="shared" si="126"/>
        <v>0.12016438356164384</v>
      </c>
      <c r="W105" s="239">
        <f t="shared" si="126"/>
        <v>0.12016438356164384</v>
      </c>
      <c r="X105" s="239">
        <f t="shared" si="126"/>
        <v>0.12016438356164384</v>
      </c>
      <c r="Y105" s="239">
        <f t="shared" si="126"/>
        <v>0.12016438356164384</v>
      </c>
      <c r="Z105" s="239">
        <f t="shared" si="126"/>
        <v>0.12016438356164384</v>
      </c>
      <c r="AA105" s="239">
        <f t="shared" si="126"/>
        <v>0.12016438356164384</v>
      </c>
      <c r="AB105" s="239">
        <f t="shared" si="126"/>
        <v>0.12016438356164384</v>
      </c>
      <c r="AC105" s="239">
        <f t="shared" si="126"/>
        <v>0.12016438356164384</v>
      </c>
      <c r="AD105" s="239">
        <f t="shared" si="126"/>
        <v>0.12016438356164384</v>
      </c>
      <c r="AE105" s="242">
        <f t="shared" si="126"/>
        <v>0.12016438356164384</v>
      </c>
      <c r="AF105" s="239">
        <f t="shared" si="126"/>
        <v>0.12016438356164384</v>
      </c>
      <c r="AG105" s="239">
        <f t="shared" si="126"/>
        <v>0.12016438356164384</v>
      </c>
      <c r="AH105" s="239">
        <f t="shared" si="126"/>
        <v>0.12016438356164384</v>
      </c>
      <c r="AI105" s="239">
        <f t="shared" si="126"/>
        <v>0.12016438356164384</v>
      </c>
      <c r="AJ105" s="239">
        <f t="shared" si="126"/>
        <v>0.12016438356164384</v>
      </c>
      <c r="AK105" s="239">
        <f t="shared" si="126"/>
        <v>0.12016438356164384</v>
      </c>
      <c r="AL105" s="239">
        <f t="shared" si="126"/>
        <v>0.12016438356164384</v>
      </c>
      <c r="AM105" s="239">
        <f t="shared" si="126"/>
        <v>0.12016438356164384</v>
      </c>
      <c r="AN105" s="239">
        <f t="shared" si="126"/>
        <v>0.12016438356164384</v>
      </c>
      <c r="AO105" s="239">
        <f t="shared" si="126"/>
        <v>0.12016438356164384</v>
      </c>
      <c r="AP105" s="239">
        <f t="shared" si="126"/>
        <v>0.12016438356164384</v>
      </c>
      <c r="AQ105" s="242">
        <f t="shared" si="126"/>
        <v>0.12016438356164384</v>
      </c>
    </row>
    <row r="106" spans="2:43" x14ac:dyDescent="0.3">
      <c r="B106" s="128" t="s">
        <v>94</v>
      </c>
      <c r="C106" s="247">
        <f>ROUND('Tariffs_ref. prices until 2023'!H98,2)</f>
        <v>142.77000000000001</v>
      </c>
      <c r="D106" s="239">
        <f>$C$106*D99</f>
        <v>38.723917808219191</v>
      </c>
      <c r="E106" s="239">
        <f t="shared" ref="E106:AQ106" si="127">$C$106*E99</f>
        <v>39.154183561643841</v>
      </c>
      <c r="F106" s="239">
        <f t="shared" si="127"/>
        <v>39.584449315068504</v>
      </c>
      <c r="G106" s="242">
        <f t="shared" si="127"/>
        <v>39.584449315068504</v>
      </c>
      <c r="H106" s="239">
        <f t="shared" si="127"/>
        <v>15.15708904109589</v>
      </c>
      <c r="I106" s="239">
        <f t="shared" si="127"/>
        <v>13.690273972602743</v>
      </c>
      <c r="J106" s="239">
        <f t="shared" si="127"/>
        <v>15.15708904109589</v>
      </c>
      <c r="K106" s="239">
        <f t="shared" si="127"/>
        <v>14.668150684931508</v>
      </c>
      <c r="L106" s="239">
        <f t="shared" si="127"/>
        <v>15.15708904109589</v>
      </c>
      <c r="M106" s="239">
        <f t="shared" si="127"/>
        <v>14.668150684931508</v>
      </c>
      <c r="N106" s="239">
        <f t="shared" si="127"/>
        <v>15.15708904109589</v>
      </c>
      <c r="O106" s="239">
        <f t="shared" si="127"/>
        <v>15.15708904109589</v>
      </c>
      <c r="P106" s="239">
        <f t="shared" si="127"/>
        <v>14.668150684931508</v>
      </c>
      <c r="Q106" s="239">
        <f t="shared" si="127"/>
        <v>15.15708904109589</v>
      </c>
      <c r="R106" s="239">
        <f t="shared" si="127"/>
        <v>14.668150684931508</v>
      </c>
      <c r="S106" s="242">
        <f t="shared" si="127"/>
        <v>15.15708904109589</v>
      </c>
      <c r="T106" s="239">
        <f t="shared" si="127"/>
        <v>0.58672602739726043</v>
      </c>
      <c r="U106" s="239">
        <f t="shared" si="127"/>
        <v>0.58672602739726043</v>
      </c>
      <c r="V106" s="239">
        <f t="shared" si="127"/>
        <v>0.58672602739726043</v>
      </c>
      <c r="W106" s="239">
        <f t="shared" si="127"/>
        <v>0.58672602739726043</v>
      </c>
      <c r="X106" s="239">
        <f t="shared" si="127"/>
        <v>0.58672602739726043</v>
      </c>
      <c r="Y106" s="239">
        <f t="shared" si="127"/>
        <v>0.58672602739726043</v>
      </c>
      <c r="Z106" s="239">
        <f t="shared" si="127"/>
        <v>0.58672602739726043</v>
      </c>
      <c r="AA106" s="239">
        <f t="shared" si="127"/>
        <v>0.58672602739726043</v>
      </c>
      <c r="AB106" s="239">
        <f t="shared" si="127"/>
        <v>0.58672602739726043</v>
      </c>
      <c r="AC106" s="239">
        <f t="shared" si="127"/>
        <v>0.58672602739726043</v>
      </c>
      <c r="AD106" s="239">
        <f t="shared" si="127"/>
        <v>0.58672602739726043</v>
      </c>
      <c r="AE106" s="242">
        <f t="shared" si="127"/>
        <v>0.58672602739726043</v>
      </c>
      <c r="AF106" s="239">
        <f t="shared" si="127"/>
        <v>0.58672602739726043</v>
      </c>
      <c r="AG106" s="239">
        <f t="shared" si="127"/>
        <v>0.58672602739726043</v>
      </c>
      <c r="AH106" s="239">
        <f t="shared" si="127"/>
        <v>0.58672602739726043</v>
      </c>
      <c r="AI106" s="239">
        <f t="shared" si="127"/>
        <v>0.58672602739726043</v>
      </c>
      <c r="AJ106" s="239">
        <f t="shared" si="127"/>
        <v>0.58672602739726043</v>
      </c>
      <c r="AK106" s="239">
        <f t="shared" si="127"/>
        <v>0.58672602739726043</v>
      </c>
      <c r="AL106" s="239">
        <f t="shared" si="127"/>
        <v>0.58672602739726043</v>
      </c>
      <c r="AM106" s="239">
        <f t="shared" si="127"/>
        <v>0.58672602739726043</v>
      </c>
      <c r="AN106" s="239">
        <f t="shared" si="127"/>
        <v>0.58672602739726043</v>
      </c>
      <c r="AO106" s="239">
        <f t="shared" si="127"/>
        <v>0.58672602739726043</v>
      </c>
      <c r="AP106" s="239">
        <f t="shared" si="127"/>
        <v>0.58672602739726043</v>
      </c>
      <c r="AQ106" s="242">
        <f t="shared" si="127"/>
        <v>0.58672602739726043</v>
      </c>
    </row>
    <row r="107" spans="2:43" x14ac:dyDescent="0.3">
      <c r="B107" s="128" t="s">
        <v>95</v>
      </c>
      <c r="C107" s="247">
        <f>ROUND('Tariffs_ref. prices until 2023'!H99,2)</f>
        <v>35.69</v>
      </c>
      <c r="D107" s="239">
        <f>$C$107*D99</f>
        <v>9.6803013698630149</v>
      </c>
      <c r="E107" s="239">
        <f t="shared" ref="E107:AQ107" si="128">$C$107*E99</f>
        <v>9.7878602739726031</v>
      </c>
      <c r="F107" s="239">
        <f t="shared" si="128"/>
        <v>9.895419178082193</v>
      </c>
      <c r="G107" s="242">
        <f t="shared" si="128"/>
        <v>9.895419178082193</v>
      </c>
      <c r="H107" s="239">
        <f t="shared" si="128"/>
        <v>3.7890068493150681</v>
      </c>
      <c r="I107" s="239">
        <f t="shared" si="128"/>
        <v>3.4223287671232878</v>
      </c>
      <c r="J107" s="239">
        <f t="shared" si="128"/>
        <v>3.7890068493150681</v>
      </c>
      <c r="K107" s="239">
        <f t="shared" si="128"/>
        <v>3.6667808219178077</v>
      </c>
      <c r="L107" s="239">
        <f t="shared" si="128"/>
        <v>3.7890068493150681</v>
      </c>
      <c r="M107" s="239">
        <f t="shared" si="128"/>
        <v>3.6667808219178077</v>
      </c>
      <c r="N107" s="239">
        <f t="shared" si="128"/>
        <v>3.7890068493150681</v>
      </c>
      <c r="O107" s="239">
        <f t="shared" si="128"/>
        <v>3.7890068493150681</v>
      </c>
      <c r="P107" s="239">
        <f t="shared" si="128"/>
        <v>3.6667808219178077</v>
      </c>
      <c r="Q107" s="239">
        <f t="shared" si="128"/>
        <v>3.7890068493150681</v>
      </c>
      <c r="R107" s="239">
        <f t="shared" si="128"/>
        <v>3.6667808219178077</v>
      </c>
      <c r="S107" s="242">
        <f t="shared" si="128"/>
        <v>3.7890068493150681</v>
      </c>
      <c r="T107" s="239">
        <f t="shared" si="128"/>
        <v>0.14667123287671233</v>
      </c>
      <c r="U107" s="239">
        <f t="shared" si="128"/>
        <v>0.14667123287671233</v>
      </c>
      <c r="V107" s="239">
        <f t="shared" si="128"/>
        <v>0.14667123287671233</v>
      </c>
      <c r="W107" s="239">
        <f t="shared" si="128"/>
        <v>0.14667123287671233</v>
      </c>
      <c r="X107" s="239">
        <f t="shared" si="128"/>
        <v>0.14667123287671233</v>
      </c>
      <c r="Y107" s="239">
        <f t="shared" si="128"/>
        <v>0.14667123287671233</v>
      </c>
      <c r="Z107" s="239">
        <f t="shared" si="128"/>
        <v>0.14667123287671233</v>
      </c>
      <c r="AA107" s="239">
        <f t="shared" si="128"/>
        <v>0.14667123287671233</v>
      </c>
      <c r="AB107" s="239">
        <f t="shared" si="128"/>
        <v>0.14667123287671233</v>
      </c>
      <c r="AC107" s="239">
        <f t="shared" si="128"/>
        <v>0.14667123287671233</v>
      </c>
      <c r="AD107" s="239">
        <f t="shared" si="128"/>
        <v>0.14667123287671233</v>
      </c>
      <c r="AE107" s="242">
        <f t="shared" si="128"/>
        <v>0.14667123287671233</v>
      </c>
      <c r="AF107" s="239">
        <f t="shared" si="128"/>
        <v>0.14667123287671233</v>
      </c>
      <c r="AG107" s="239">
        <f t="shared" si="128"/>
        <v>0.14667123287671233</v>
      </c>
      <c r="AH107" s="239">
        <f t="shared" si="128"/>
        <v>0.14667123287671233</v>
      </c>
      <c r="AI107" s="239">
        <f t="shared" si="128"/>
        <v>0.14667123287671233</v>
      </c>
      <c r="AJ107" s="239">
        <f t="shared" si="128"/>
        <v>0.14667123287671233</v>
      </c>
      <c r="AK107" s="239">
        <f t="shared" si="128"/>
        <v>0.14667123287671233</v>
      </c>
      <c r="AL107" s="239">
        <f t="shared" si="128"/>
        <v>0.14667123287671233</v>
      </c>
      <c r="AM107" s="239">
        <f t="shared" si="128"/>
        <v>0.14667123287671233</v>
      </c>
      <c r="AN107" s="239">
        <f t="shared" si="128"/>
        <v>0.14667123287671233</v>
      </c>
      <c r="AO107" s="239">
        <f t="shared" si="128"/>
        <v>0.14667123287671233</v>
      </c>
      <c r="AP107" s="239">
        <f t="shared" si="128"/>
        <v>0.14667123287671233</v>
      </c>
      <c r="AQ107" s="242">
        <f t="shared" si="128"/>
        <v>0.14667123287671233</v>
      </c>
    </row>
    <row r="108" spans="2:43" x14ac:dyDescent="0.3">
      <c r="B108" s="318" t="s">
        <v>172</v>
      </c>
      <c r="C108" s="247">
        <f>ROUND('Tariffs_ref. prices until 2023'!H100,2)</f>
        <v>142.77000000000001</v>
      </c>
      <c r="D108" s="239">
        <f>$C$108*D99</f>
        <v>38.723917808219191</v>
      </c>
      <c r="E108" s="239">
        <f t="shared" ref="E108:AQ108" si="129">$C$108*E99</f>
        <v>39.154183561643841</v>
      </c>
      <c r="F108" s="239">
        <f t="shared" si="129"/>
        <v>39.584449315068504</v>
      </c>
      <c r="G108" s="242">
        <f t="shared" si="129"/>
        <v>39.584449315068504</v>
      </c>
      <c r="H108" s="239">
        <f t="shared" si="129"/>
        <v>15.15708904109589</v>
      </c>
      <c r="I108" s="239">
        <f t="shared" si="129"/>
        <v>13.690273972602743</v>
      </c>
      <c r="J108" s="239">
        <f t="shared" si="129"/>
        <v>15.15708904109589</v>
      </c>
      <c r="K108" s="239">
        <f t="shared" si="129"/>
        <v>14.668150684931508</v>
      </c>
      <c r="L108" s="239">
        <f t="shared" si="129"/>
        <v>15.15708904109589</v>
      </c>
      <c r="M108" s="239">
        <f t="shared" si="129"/>
        <v>14.668150684931508</v>
      </c>
      <c r="N108" s="239">
        <f t="shared" si="129"/>
        <v>15.15708904109589</v>
      </c>
      <c r="O108" s="239">
        <f t="shared" si="129"/>
        <v>15.15708904109589</v>
      </c>
      <c r="P108" s="239">
        <f t="shared" si="129"/>
        <v>14.668150684931508</v>
      </c>
      <c r="Q108" s="239">
        <f t="shared" si="129"/>
        <v>15.15708904109589</v>
      </c>
      <c r="R108" s="239">
        <f t="shared" si="129"/>
        <v>14.668150684931508</v>
      </c>
      <c r="S108" s="242">
        <f t="shared" si="129"/>
        <v>15.15708904109589</v>
      </c>
      <c r="T108" s="239">
        <f t="shared" si="129"/>
        <v>0.58672602739726043</v>
      </c>
      <c r="U108" s="239">
        <f t="shared" si="129"/>
        <v>0.58672602739726043</v>
      </c>
      <c r="V108" s="239">
        <f t="shared" si="129"/>
        <v>0.58672602739726043</v>
      </c>
      <c r="W108" s="239">
        <f t="shared" si="129"/>
        <v>0.58672602739726043</v>
      </c>
      <c r="X108" s="239">
        <f t="shared" si="129"/>
        <v>0.58672602739726043</v>
      </c>
      <c r="Y108" s="239">
        <f t="shared" si="129"/>
        <v>0.58672602739726043</v>
      </c>
      <c r="Z108" s="239">
        <f t="shared" si="129"/>
        <v>0.58672602739726043</v>
      </c>
      <c r="AA108" s="239">
        <f t="shared" si="129"/>
        <v>0.58672602739726043</v>
      </c>
      <c r="AB108" s="239">
        <f t="shared" si="129"/>
        <v>0.58672602739726043</v>
      </c>
      <c r="AC108" s="239">
        <f t="shared" si="129"/>
        <v>0.58672602739726043</v>
      </c>
      <c r="AD108" s="239">
        <f t="shared" si="129"/>
        <v>0.58672602739726043</v>
      </c>
      <c r="AE108" s="242">
        <f t="shared" si="129"/>
        <v>0.58672602739726043</v>
      </c>
      <c r="AF108" s="239">
        <f t="shared" si="129"/>
        <v>0.58672602739726043</v>
      </c>
      <c r="AG108" s="239">
        <f t="shared" si="129"/>
        <v>0.58672602739726043</v>
      </c>
      <c r="AH108" s="239">
        <f t="shared" si="129"/>
        <v>0.58672602739726043</v>
      </c>
      <c r="AI108" s="239">
        <f t="shared" si="129"/>
        <v>0.58672602739726043</v>
      </c>
      <c r="AJ108" s="239">
        <f t="shared" si="129"/>
        <v>0.58672602739726043</v>
      </c>
      <c r="AK108" s="239">
        <f t="shared" si="129"/>
        <v>0.58672602739726043</v>
      </c>
      <c r="AL108" s="239">
        <f t="shared" si="129"/>
        <v>0.58672602739726043</v>
      </c>
      <c r="AM108" s="239">
        <f t="shared" si="129"/>
        <v>0.58672602739726043</v>
      </c>
      <c r="AN108" s="239">
        <f t="shared" si="129"/>
        <v>0.58672602739726043</v>
      </c>
      <c r="AO108" s="239">
        <f t="shared" si="129"/>
        <v>0.58672602739726043</v>
      </c>
      <c r="AP108" s="239">
        <f t="shared" si="129"/>
        <v>0.58672602739726043</v>
      </c>
      <c r="AQ108" s="242">
        <f t="shared" si="129"/>
        <v>0.58672602739726043</v>
      </c>
    </row>
    <row r="109" spans="2:43" x14ac:dyDescent="0.3">
      <c r="B109" s="128" t="s">
        <v>96</v>
      </c>
      <c r="C109" s="247">
        <f>ROUND('Tariffs_ref. prices until 2023'!H101,2)</f>
        <v>142.85</v>
      </c>
      <c r="D109" s="239">
        <f>$C$109*D100</f>
        <v>38.745616438356173</v>
      </c>
      <c r="E109" s="239">
        <f t="shared" ref="E109:AQ109" si="130">$C$109*E100</f>
        <v>39.176123287671231</v>
      </c>
      <c r="F109" s="239">
        <f t="shared" si="130"/>
        <v>39.606630136986304</v>
      </c>
      <c r="G109" s="242">
        <f t="shared" si="130"/>
        <v>39.606630136986304</v>
      </c>
      <c r="H109" s="239">
        <f t="shared" si="130"/>
        <v>15.165582191780821</v>
      </c>
      <c r="I109" s="239">
        <f t="shared" si="130"/>
        <v>13.697945205479453</v>
      </c>
      <c r="J109" s="239">
        <f t="shared" si="130"/>
        <v>15.165582191780821</v>
      </c>
      <c r="K109" s="239">
        <f t="shared" si="130"/>
        <v>14.676369863013697</v>
      </c>
      <c r="L109" s="239">
        <f t="shared" si="130"/>
        <v>15.165582191780821</v>
      </c>
      <c r="M109" s="239">
        <f t="shared" si="130"/>
        <v>14.676369863013697</v>
      </c>
      <c r="N109" s="239">
        <f t="shared" si="130"/>
        <v>15.165582191780821</v>
      </c>
      <c r="O109" s="239">
        <f t="shared" si="130"/>
        <v>15.165582191780821</v>
      </c>
      <c r="P109" s="239">
        <f t="shared" si="130"/>
        <v>14.676369863013697</v>
      </c>
      <c r="Q109" s="239">
        <f t="shared" si="130"/>
        <v>15.165582191780821</v>
      </c>
      <c r="R109" s="239">
        <f t="shared" si="130"/>
        <v>14.676369863013697</v>
      </c>
      <c r="S109" s="242">
        <f t="shared" si="130"/>
        <v>15.165582191780821</v>
      </c>
      <c r="T109" s="239">
        <f t="shared" si="130"/>
        <v>0.58705479452054798</v>
      </c>
      <c r="U109" s="239">
        <f t="shared" si="130"/>
        <v>0.58705479452054798</v>
      </c>
      <c r="V109" s="239">
        <f t="shared" si="130"/>
        <v>0.58705479452054798</v>
      </c>
      <c r="W109" s="239">
        <f t="shared" si="130"/>
        <v>0.58705479452054798</v>
      </c>
      <c r="X109" s="239">
        <f t="shared" si="130"/>
        <v>0.58705479452054798</v>
      </c>
      <c r="Y109" s="239">
        <f t="shared" si="130"/>
        <v>0.58705479452054798</v>
      </c>
      <c r="Z109" s="239">
        <f t="shared" si="130"/>
        <v>0.58705479452054798</v>
      </c>
      <c r="AA109" s="239">
        <f t="shared" si="130"/>
        <v>0.58705479452054798</v>
      </c>
      <c r="AB109" s="239">
        <f t="shared" si="130"/>
        <v>0.58705479452054798</v>
      </c>
      <c r="AC109" s="239">
        <f t="shared" si="130"/>
        <v>0.58705479452054798</v>
      </c>
      <c r="AD109" s="239">
        <f t="shared" si="130"/>
        <v>0.58705479452054798</v>
      </c>
      <c r="AE109" s="242">
        <f t="shared" si="130"/>
        <v>0.58705479452054798</v>
      </c>
      <c r="AF109" s="239">
        <f t="shared" si="130"/>
        <v>0.58705479452054798</v>
      </c>
      <c r="AG109" s="239">
        <f t="shared" si="130"/>
        <v>0.58705479452054798</v>
      </c>
      <c r="AH109" s="239">
        <f t="shared" si="130"/>
        <v>0.58705479452054798</v>
      </c>
      <c r="AI109" s="239">
        <f t="shared" si="130"/>
        <v>0.58705479452054798</v>
      </c>
      <c r="AJ109" s="239">
        <f t="shared" si="130"/>
        <v>0.58705479452054798</v>
      </c>
      <c r="AK109" s="239">
        <f t="shared" si="130"/>
        <v>0.58705479452054798</v>
      </c>
      <c r="AL109" s="239">
        <f t="shared" si="130"/>
        <v>0.58705479452054798</v>
      </c>
      <c r="AM109" s="239">
        <f t="shared" si="130"/>
        <v>0.58705479452054798</v>
      </c>
      <c r="AN109" s="239">
        <f t="shared" si="130"/>
        <v>0.58705479452054798</v>
      </c>
      <c r="AO109" s="239">
        <f t="shared" si="130"/>
        <v>0.58705479452054798</v>
      </c>
      <c r="AP109" s="239">
        <f t="shared" si="130"/>
        <v>0.58705479452054798</v>
      </c>
      <c r="AQ109" s="242">
        <f t="shared" si="130"/>
        <v>0.58705479452054798</v>
      </c>
    </row>
    <row r="110" spans="2:43" x14ac:dyDescent="0.3">
      <c r="B110" s="128" t="s">
        <v>97</v>
      </c>
      <c r="C110" s="247">
        <f>ROUND('Tariffs_ref. prices until 2023'!H102,2)</f>
        <v>53.22</v>
      </c>
      <c r="D110" s="239">
        <f>$C$110*D101</f>
        <v>26.081445205479454</v>
      </c>
      <c r="E110" s="239">
        <f t="shared" ref="E110:AQ110" si="131">$C$110*E101</f>
        <v>10.946552054794521</v>
      </c>
      <c r="F110" s="239">
        <f t="shared" si="131"/>
        <v>10.899164383561645</v>
      </c>
      <c r="G110" s="242">
        <f t="shared" si="131"/>
        <v>18.4447397260274</v>
      </c>
      <c r="H110" s="239">
        <f t="shared" si="131"/>
        <v>11.051533972602741</v>
      </c>
      <c r="I110" s="239">
        <f t="shared" si="131"/>
        <v>8.8797205479452046</v>
      </c>
      <c r="J110" s="239">
        <f t="shared" si="131"/>
        <v>11.526139726027397</v>
      </c>
      <c r="K110" s="239">
        <f t="shared" si="131"/>
        <v>4.8554136986301364</v>
      </c>
      <c r="L110" s="239">
        <f t="shared" si="131"/>
        <v>4.0002484931506848</v>
      </c>
      <c r="M110" s="239">
        <f t="shared" si="131"/>
        <v>4.2648904109589045</v>
      </c>
      <c r="N110" s="239">
        <f t="shared" si="131"/>
        <v>2.9154353424657535</v>
      </c>
      <c r="O110" s="239">
        <f t="shared" si="131"/>
        <v>4.5426550684931515</v>
      </c>
      <c r="P110" s="239">
        <f t="shared" si="131"/>
        <v>5.5115506849315068</v>
      </c>
      <c r="Q110" s="239">
        <f t="shared" si="131"/>
        <v>7.1868871232876712</v>
      </c>
      <c r="R110" s="239">
        <f t="shared" si="131"/>
        <v>7.4799616438356145</v>
      </c>
      <c r="S110" s="242">
        <f t="shared" si="131"/>
        <v>7.5258912328767122</v>
      </c>
      <c r="T110" s="239">
        <f t="shared" si="131"/>
        <v>0.71300219178082191</v>
      </c>
      <c r="U110" s="239">
        <f t="shared" si="131"/>
        <v>0.63426575342465763</v>
      </c>
      <c r="V110" s="239">
        <f t="shared" si="131"/>
        <v>0.74362191780821929</v>
      </c>
      <c r="W110" s="239">
        <f t="shared" si="131"/>
        <v>0.32369424657534246</v>
      </c>
      <c r="X110" s="239">
        <f t="shared" si="131"/>
        <v>0.25808054794520552</v>
      </c>
      <c r="Y110" s="239">
        <f t="shared" si="131"/>
        <v>0.28432602739726032</v>
      </c>
      <c r="Z110" s="239">
        <f t="shared" si="131"/>
        <v>0.18809260273972603</v>
      </c>
      <c r="AA110" s="239">
        <f t="shared" si="131"/>
        <v>0.29307452054794525</v>
      </c>
      <c r="AB110" s="239">
        <f t="shared" si="131"/>
        <v>0.36743671232876718</v>
      </c>
      <c r="AC110" s="239">
        <f t="shared" si="131"/>
        <v>0.46367013698630138</v>
      </c>
      <c r="AD110" s="239">
        <f t="shared" si="131"/>
        <v>0.49866410958904106</v>
      </c>
      <c r="AE110" s="242">
        <f t="shared" si="131"/>
        <v>0.48554136986301383</v>
      </c>
      <c r="AF110" s="239">
        <f t="shared" si="131"/>
        <v>0.71300219178082191</v>
      </c>
      <c r="AG110" s="239">
        <f t="shared" si="131"/>
        <v>0.63426575342465763</v>
      </c>
      <c r="AH110" s="239">
        <f t="shared" si="131"/>
        <v>0.74362191780821929</v>
      </c>
      <c r="AI110" s="239">
        <f t="shared" si="131"/>
        <v>0.32369424657534246</v>
      </c>
      <c r="AJ110" s="239">
        <f t="shared" si="131"/>
        <v>0.25808054794520552</v>
      </c>
      <c r="AK110" s="239">
        <f t="shared" si="131"/>
        <v>0.28432602739726032</v>
      </c>
      <c r="AL110" s="239">
        <f t="shared" si="131"/>
        <v>0.18809260273972603</v>
      </c>
      <c r="AM110" s="239">
        <f t="shared" si="131"/>
        <v>0.29307452054794525</v>
      </c>
      <c r="AN110" s="239">
        <f t="shared" si="131"/>
        <v>0.36743671232876718</v>
      </c>
      <c r="AO110" s="239">
        <f t="shared" si="131"/>
        <v>0.46367013698630138</v>
      </c>
      <c r="AP110" s="239">
        <f t="shared" si="131"/>
        <v>0.49866410958904106</v>
      </c>
      <c r="AQ110" s="242">
        <f t="shared" si="131"/>
        <v>0.48554136986301383</v>
      </c>
    </row>
    <row r="111" spans="2:43" x14ac:dyDescent="0.3">
      <c r="B111" s="318" t="s">
        <v>173</v>
      </c>
      <c r="C111" s="247">
        <f>ROUND('Tariffs_ref. prices until 2023'!H103,2)</f>
        <v>142.85</v>
      </c>
      <c r="D111" s="239">
        <f>$C$111*D102</f>
        <v>38.745616438356173</v>
      </c>
      <c r="E111" s="239">
        <f t="shared" ref="E111:AQ111" si="132">$C$111*E102</f>
        <v>39.176123287671231</v>
      </c>
      <c r="F111" s="239">
        <f t="shared" si="132"/>
        <v>39.606630136986304</v>
      </c>
      <c r="G111" s="242">
        <f t="shared" si="132"/>
        <v>39.606630136986304</v>
      </c>
      <c r="H111" s="239">
        <f t="shared" si="132"/>
        <v>15.165582191780821</v>
      </c>
      <c r="I111" s="239">
        <f t="shared" si="132"/>
        <v>13.697945205479453</v>
      </c>
      <c r="J111" s="239">
        <f t="shared" si="132"/>
        <v>15.165582191780821</v>
      </c>
      <c r="K111" s="239">
        <f t="shared" si="132"/>
        <v>14.676369863013697</v>
      </c>
      <c r="L111" s="239">
        <f t="shared" si="132"/>
        <v>15.165582191780821</v>
      </c>
      <c r="M111" s="239">
        <f t="shared" si="132"/>
        <v>14.676369863013697</v>
      </c>
      <c r="N111" s="239">
        <f t="shared" si="132"/>
        <v>15.165582191780821</v>
      </c>
      <c r="O111" s="239">
        <f t="shared" si="132"/>
        <v>15.165582191780821</v>
      </c>
      <c r="P111" s="239">
        <f t="shared" si="132"/>
        <v>14.676369863013697</v>
      </c>
      <c r="Q111" s="239">
        <f t="shared" si="132"/>
        <v>15.165582191780821</v>
      </c>
      <c r="R111" s="239">
        <f t="shared" si="132"/>
        <v>14.676369863013697</v>
      </c>
      <c r="S111" s="242">
        <f t="shared" si="132"/>
        <v>15.165582191780821</v>
      </c>
      <c r="T111" s="239">
        <f t="shared" si="132"/>
        <v>0.58705479452054798</v>
      </c>
      <c r="U111" s="239">
        <f t="shared" si="132"/>
        <v>0.58705479452054798</v>
      </c>
      <c r="V111" s="239">
        <f t="shared" si="132"/>
        <v>0.58705479452054798</v>
      </c>
      <c r="W111" s="239">
        <f t="shared" si="132"/>
        <v>0.58705479452054798</v>
      </c>
      <c r="X111" s="239">
        <f t="shared" si="132"/>
        <v>0.58705479452054798</v>
      </c>
      <c r="Y111" s="239">
        <f t="shared" si="132"/>
        <v>0.58705479452054798</v>
      </c>
      <c r="Z111" s="239">
        <f t="shared" si="132"/>
        <v>0.58705479452054798</v>
      </c>
      <c r="AA111" s="239">
        <f t="shared" si="132"/>
        <v>0.58705479452054798</v>
      </c>
      <c r="AB111" s="239">
        <f t="shared" si="132"/>
        <v>0.58705479452054798</v>
      </c>
      <c r="AC111" s="239">
        <f t="shared" si="132"/>
        <v>0.58705479452054798</v>
      </c>
      <c r="AD111" s="239">
        <f t="shared" si="132"/>
        <v>0.58705479452054798</v>
      </c>
      <c r="AE111" s="242">
        <f t="shared" si="132"/>
        <v>0.58705479452054798</v>
      </c>
      <c r="AF111" s="239">
        <f t="shared" si="132"/>
        <v>0.58705479452054798</v>
      </c>
      <c r="AG111" s="239">
        <f t="shared" si="132"/>
        <v>0.58705479452054798</v>
      </c>
      <c r="AH111" s="239">
        <f t="shared" si="132"/>
        <v>0.58705479452054798</v>
      </c>
      <c r="AI111" s="239">
        <f t="shared" si="132"/>
        <v>0.58705479452054798</v>
      </c>
      <c r="AJ111" s="239">
        <f t="shared" si="132"/>
        <v>0.58705479452054798</v>
      </c>
      <c r="AK111" s="239">
        <f t="shared" si="132"/>
        <v>0.58705479452054798</v>
      </c>
      <c r="AL111" s="239">
        <f t="shared" si="132"/>
        <v>0.58705479452054798</v>
      </c>
      <c r="AM111" s="239">
        <f t="shared" si="132"/>
        <v>0.58705479452054798</v>
      </c>
      <c r="AN111" s="239">
        <f t="shared" si="132"/>
        <v>0.58705479452054798</v>
      </c>
      <c r="AO111" s="239">
        <f t="shared" si="132"/>
        <v>0.58705479452054798</v>
      </c>
      <c r="AP111" s="239">
        <f t="shared" si="132"/>
        <v>0.58705479452054798</v>
      </c>
      <c r="AQ111" s="242">
        <f t="shared" si="132"/>
        <v>0.58705479452054798</v>
      </c>
    </row>
    <row r="112" spans="2:43" ht="15" thickBot="1" x14ac:dyDescent="0.35">
      <c r="B112" s="290" t="s">
        <v>98</v>
      </c>
      <c r="C112" s="248">
        <f>ROUND('Tariffs_ref. prices until 2023'!H103,2)</f>
        <v>142.85</v>
      </c>
      <c r="D112" s="243">
        <f>$C$112*D103</f>
        <v>71.767448630136983</v>
      </c>
      <c r="E112" s="243">
        <f t="shared" ref="E112:AQ112" si="133">$C$112*E103</f>
        <v>32.053191780821919</v>
      </c>
      <c r="F112" s="243">
        <f t="shared" si="133"/>
        <v>19.353239726027397</v>
      </c>
      <c r="G112" s="244">
        <f t="shared" si="133"/>
        <v>54.909191780821921</v>
      </c>
      <c r="H112" s="243">
        <f t="shared" si="133"/>
        <v>35.487462328767123</v>
      </c>
      <c r="I112" s="243">
        <f t="shared" si="133"/>
        <v>23.998799999999996</v>
      </c>
      <c r="J112" s="243">
        <f t="shared" si="133"/>
        <v>26.752086986301368</v>
      </c>
      <c r="K112" s="243">
        <f t="shared" si="133"/>
        <v>15.322130136986301</v>
      </c>
      <c r="L112" s="243">
        <f t="shared" si="133"/>
        <v>12.739089041095889</v>
      </c>
      <c r="M112" s="243">
        <f t="shared" si="133"/>
        <v>10.566986301369861</v>
      </c>
      <c r="N112" s="243">
        <f t="shared" si="133"/>
        <v>4.7316616438356158</v>
      </c>
      <c r="O112" s="243">
        <f t="shared" si="133"/>
        <v>4.9136486301369864</v>
      </c>
      <c r="P112" s="243">
        <f t="shared" si="133"/>
        <v>13.560965753424655</v>
      </c>
      <c r="Q112" s="243">
        <f t="shared" si="133"/>
        <v>19.654594520547946</v>
      </c>
      <c r="R112" s="243">
        <f t="shared" si="133"/>
        <v>21.133972602739721</v>
      </c>
      <c r="S112" s="244">
        <f t="shared" si="133"/>
        <v>24.932217123287671</v>
      </c>
      <c r="T112" s="243">
        <f t="shared" si="133"/>
        <v>2.2895136986301372</v>
      </c>
      <c r="U112" s="243">
        <f t="shared" si="133"/>
        <v>1.7141999999999999</v>
      </c>
      <c r="V112" s="243">
        <f t="shared" si="133"/>
        <v>1.7259410958904109</v>
      </c>
      <c r="W112" s="243">
        <f t="shared" si="133"/>
        <v>1.0214753424657534</v>
      </c>
      <c r="X112" s="243">
        <f t="shared" si="133"/>
        <v>0.82187671232876713</v>
      </c>
      <c r="Y112" s="243">
        <f t="shared" si="133"/>
        <v>0.70446575342465756</v>
      </c>
      <c r="Z112" s="243">
        <f t="shared" si="133"/>
        <v>0.30526849315068499</v>
      </c>
      <c r="AA112" s="243">
        <f t="shared" si="133"/>
        <v>0.31700958904109594</v>
      </c>
      <c r="AB112" s="243">
        <f t="shared" si="133"/>
        <v>0.90406438356164398</v>
      </c>
      <c r="AC112" s="243">
        <f t="shared" si="133"/>
        <v>1.2680383561643838</v>
      </c>
      <c r="AD112" s="243">
        <f t="shared" si="133"/>
        <v>1.4089315068493151</v>
      </c>
      <c r="AE112" s="244">
        <f t="shared" si="133"/>
        <v>1.6085301369863017</v>
      </c>
      <c r="AF112" s="243">
        <f t="shared" si="133"/>
        <v>2.2895136986301372</v>
      </c>
      <c r="AG112" s="243">
        <f t="shared" si="133"/>
        <v>1.7141999999999999</v>
      </c>
      <c r="AH112" s="243">
        <f t="shared" si="133"/>
        <v>1.7259410958904109</v>
      </c>
      <c r="AI112" s="243">
        <f t="shared" si="133"/>
        <v>1.0214753424657534</v>
      </c>
      <c r="AJ112" s="243">
        <f t="shared" si="133"/>
        <v>0.82187671232876713</v>
      </c>
      <c r="AK112" s="243">
        <f t="shared" si="133"/>
        <v>0.70446575342465756</v>
      </c>
      <c r="AL112" s="243">
        <f t="shared" si="133"/>
        <v>0.30526849315068499</v>
      </c>
      <c r="AM112" s="243">
        <f t="shared" si="133"/>
        <v>0.31700958904109594</v>
      </c>
      <c r="AN112" s="243">
        <f t="shared" si="133"/>
        <v>0.90406438356164398</v>
      </c>
      <c r="AO112" s="243">
        <f t="shared" si="133"/>
        <v>1.2680383561643838</v>
      </c>
      <c r="AP112" s="243">
        <f t="shared" si="133"/>
        <v>1.4089315068493151</v>
      </c>
      <c r="AQ112" s="244">
        <f t="shared" si="133"/>
        <v>1.6085301369863017</v>
      </c>
    </row>
    <row r="113" spans="2:43" ht="15.6" x14ac:dyDescent="0.3">
      <c r="B113" s="394" t="s">
        <v>161</v>
      </c>
      <c r="C113" s="395"/>
      <c r="D113" s="395"/>
      <c r="E113" s="395"/>
      <c r="F113" s="395"/>
      <c r="G113" s="395"/>
      <c r="H113" s="395"/>
      <c r="I113" s="395"/>
      <c r="J113" s="395"/>
      <c r="K113" s="395"/>
      <c r="L113" s="395"/>
      <c r="M113" s="395"/>
      <c r="N113" s="395"/>
      <c r="O113" s="395"/>
      <c r="P113" s="395"/>
      <c r="Q113" s="395"/>
      <c r="R113" s="395"/>
      <c r="S113" s="395"/>
      <c r="T113" s="395"/>
      <c r="U113" s="395"/>
      <c r="V113" s="395"/>
      <c r="W113" s="395"/>
      <c r="X113" s="395"/>
      <c r="Y113" s="395"/>
      <c r="Z113" s="395"/>
      <c r="AA113" s="395"/>
      <c r="AB113" s="395"/>
      <c r="AC113" s="395"/>
      <c r="AD113" s="395"/>
      <c r="AE113" s="395"/>
      <c r="AF113" s="395"/>
      <c r="AG113" s="395"/>
      <c r="AH113" s="395"/>
      <c r="AI113" s="395"/>
      <c r="AJ113" s="395"/>
      <c r="AK113" s="395"/>
      <c r="AL113" s="395"/>
      <c r="AM113" s="395"/>
      <c r="AN113" s="395"/>
      <c r="AO113" s="395"/>
      <c r="AP113" s="395"/>
      <c r="AQ113" s="395"/>
    </row>
    <row r="114" spans="2:43" x14ac:dyDescent="0.3">
      <c r="B114" s="132"/>
      <c r="C114" s="396" t="s">
        <v>84</v>
      </c>
      <c r="D114" s="399" t="s">
        <v>82</v>
      </c>
      <c r="E114" s="399"/>
      <c r="F114" s="399"/>
      <c r="G114" s="400"/>
      <c r="H114" s="399" t="s">
        <v>83</v>
      </c>
      <c r="I114" s="399"/>
      <c r="J114" s="399"/>
      <c r="K114" s="399"/>
      <c r="L114" s="399"/>
      <c r="M114" s="399"/>
      <c r="N114" s="399"/>
      <c r="O114" s="399"/>
      <c r="P114" s="399"/>
      <c r="Q114" s="399"/>
      <c r="R114" s="399"/>
      <c r="S114" s="400"/>
      <c r="T114" s="399" t="s">
        <v>91</v>
      </c>
      <c r="U114" s="399"/>
      <c r="V114" s="399"/>
      <c r="W114" s="399"/>
      <c r="X114" s="399"/>
      <c r="Y114" s="399"/>
      <c r="Z114" s="399"/>
      <c r="AA114" s="399"/>
      <c r="AB114" s="399"/>
      <c r="AC114" s="399"/>
      <c r="AD114" s="399"/>
      <c r="AE114" s="401"/>
      <c r="AF114" s="402" t="s">
        <v>92</v>
      </c>
      <c r="AG114" s="399"/>
      <c r="AH114" s="399"/>
      <c r="AI114" s="399"/>
      <c r="AJ114" s="399"/>
      <c r="AK114" s="399"/>
      <c r="AL114" s="399"/>
      <c r="AM114" s="399"/>
      <c r="AN114" s="399"/>
      <c r="AO114" s="399"/>
      <c r="AP114" s="399"/>
      <c r="AQ114" s="401"/>
    </row>
    <row r="115" spans="2:43" x14ac:dyDescent="0.3">
      <c r="B115" s="125" t="s">
        <v>81</v>
      </c>
      <c r="C115" s="397"/>
      <c r="D115" s="312" t="s">
        <v>39</v>
      </c>
      <c r="E115" s="313" t="s">
        <v>40</v>
      </c>
      <c r="F115" s="313" t="s">
        <v>41</v>
      </c>
      <c r="G115" s="240" t="s">
        <v>42</v>
      </c>
      <c r="H115" s="312" t="s">
        <v>24</v>
      </c>
      <c r="I115" s="313" t="s">
        <v>25</v>
      </c>
      <c r="J115" s="313" t="s">
        <v>26</v>
      </c>
      <c r="K115" s="313" t="s">
        <v>27</v>
      </c>
      <c r="L115" s="313" t="s">
        <v>17</v>
      </c>
      <c r="M115" s="313" t="s">
        <v>28</v>
      </c>
      <c r="N115" s="313" t="s">
        <v>29</v>
      </c>
      <c r="O115" s="313" t="s">
        <v>30</v>
      </c>
      <c r="P115" s="313" t="s">
        <v>31</v>
      </c>
      <c r="Q115" s="313" t="s">
        <v>32</v>
      </c>
      <c r="R115" s="313" t="s">
        <v>33</v>
      </c>
      <c r="S115" s="240" t="s">
        <v>34</v>
      </c>
      <c r="T115" s="312" t="s">
        <v>24</v>
      </c>
      <c r="U115" s="313" t="s">
        <v>25</v>
      </c>
      <c r="V115" s="313" t="s">
        <v>26</v>
      </c>
      <c r="W115" s="313" t="s">
        <v>27</v>
      </c>
      <c r="X115" s="313" t="s">
        <v>17</v>
      </c>
      <c r="Y115" s="313" t="s">
        <v>28</v>
      </c>
      <c r="Z115" s="313" t="s">
        <v>29</v>
      </c>
      <c r="AA115" s="313" t="s">
        <v>30</v>
      </c>
      <c r="AB115" s="313" t="s">
        <v>31</v>
      </c>
      <c r="AC115" s="313" t="s">
        <v>32</v>
      </c>
      <c r="AD115" s="313" t="s">
        <v>33</v>
      </c>
      <c r="AE115" s="126" t="s">
        <v>34</v>
      </c>
      <c r="AF115" s="313" t="s">
        <v>24</v>
      </c>
      <c r="AG115" s="313" t="s">
        <v>25</v>
      </c>
      <c r="AH115" s="313" t="s">
        <v>26</v>
      </c>
      <c r="AI115" s="313" t="s">
        <v>27</v>
      </c>
      <c r="AJ115" s="313" t="s">
        <v>17</v>
      </c>
      <c r="AK115" s="313" t="s">
        <v>28</v>
      </c>
      <c r="AL115" s="313" t="s">
        <v>29</v>
      </c>
      <c r="AM115" s="313" t="s">
        <v>30</v>
      </c>
      <c r="AN115" s="313" t="s">
        <v>31</v>
      </c>
      <c r="AO115" s="313" t="s">
        <v>32</v>
      </c>
      <c r="AP115" s="313" t="s">
        <v>33</v>
      </c>
      <c r="AQ115" s="126" t="s">
        <v>34</v>
      </c>
    </row>
    <row r="116" spans="2:43" x14ac:dyDescent="0.3">
      <c r="B116" s="125" t="s">
        <v>80</v>
      </c>
      <c r="C116" s="397"/>
      <c r="D116" s="238">
        <f>1/$C$15*D15*$D$24</f>
        <v>0.27123287671232882</v>
      </c>
      <c r="E116" s="238">
        <f t="shared" ref="E116:G116" si="134">1/$C$15*E15*$D$24</f>
        <v>0.27424657534246577</v>
      </c>
      <c r="F116" s="238">
        <f t="shared" si="134"/>
        <v>0.27726027397260278</v>
      </c>
      <c r="G116" s="342">
        <f t="shared" si="134"/>
        <v>0.27726027397260278</v>
      </c>
      <c r="H116" s="345">
        <f>1/$C$15*H15*$E$24</f>
        <v>0.10616438356164383</v>
      </c>
      <c r="I116" s="238">
        <f t="shared" ref="I116:S116" si="135">1/$C$15*I15*$E$24</f>
        <v>9.5890410958904118E-2</v>
      </c>
      <c r="J116" s="238">
        <f t="shared" si="135"/>
        <v>0.10616438356164383</v>
      </c>
      <c r="K116" s="238">
        <f t="shared" si="135"/>
        <v>0.10273972602739725</v>
      </c>
      <c r="L116" s="238">
        <f t="shared" si="135"/>
        <v>0.10616438356164383</v>
      </c>
      <c r="M116" s="238">
        <f t="shared" si="135"/>
        <v>0.10273972602739725</v>
      </c>
      <c r="N116" s="238">
        <f t="shared" si="135"/>
        <v>0.10616438356164383</v>
      </c>
      <c r="O116" s="238">
        <f t="shared" si="135"/>
        <v>0.10616438356164383</v>
      </c>
      <c r="P116" s="238">
        <f t="shared" si="135"/>
        <v>0.10273972602739725</v>
      </c>
      <c r="Q116" s="238">
        <f t="shared" si="135"/>
        <v>0.10616438356164383</v>
      </c>
      <c r="R116" s="238">
        <f t="shared" si="135"/>
        <v>0.10273972602739725</v>
      </c>
      <c r="S116" s="342">
        <f t="shared" si="135"/>
        <v>0.10616438356164383</v>
      </c>
      <c r="T116" s="345">
        <f>1/$C$15*$F$24</f>
        <v>4.1095890410958909E-3</v>
      </c>
      <c r="U116" s="238">
        <f t="shared" ref="U116:AE116" si="136">1/$C$15*$F$24</f>
        <v>4.1095890410958909E-3</v>
      </c>
      <c r="V116" s="238">
        <f t="shared" si="136"/>
        <v>4.1095890410958909E-3</v>
      </c>
      <c r="W116" s="238">
        <f t="shared" si="136"/>
        <v>4.1095890410958909E-3</v>
      </c>
      <c r="X116" s="238">
        <f t="shared" si="136"/>
        <v>4.1095890410958909E-3</v>
      </c>
      <c r="Y116" s="238">
        <f t="shared" si="136"/>
        <v>4.1095890410958909E-3</v>
      </c>
      <c r="Z116" s="238">
        <f t="shared" si="136"/>
        <v>4.1095890410958909E-3</v>
      </c>
      <c r="AA116" s="238">
        <f t="shared" si="136"/>
        <v>4.1095890410958909E-3</v>
      </c>
      <c r="AB116" s="238">
        <f t="shared" si="136"/>
        <v>4.1095890410958909E-3</v>
      </c>
      <c r="AC116" s="238">
        <f t="shared" si="136"/>
        <v>4.1095890410958909E-3</v>
      </c>
      <c r="AD116" s="238">
        <f t="shared" si="136"/>
        <v>4.1095890410958909E-3</v>
      </c>
      <c r="AE116" s="342">
        <f t="shared" si="136"/>
        <v>4.1095890410958909E-3</v>
      </c>
      <c r="AF116" s="345">
        <f>1/$C$15*$G$24</f>
        <v>4.1095890410958909E-3</v>
      </c>
      <c r="AG116" s="124">
        <f t="shared" ref="AG116:AQ116" si="137">1/$C$15*$G$24</f>
        <v>4.1095890410958909E-3</v>
      </c>
      <c r="AH116" s="124">
        <f t="shared" si="137"/>
        <v>4.1095890410958909E-3</v>
      </c>
      <c r="AI116" s="124">
        <f t="shared" si="137"/>
        <v>4.1095890410958909E-3</v>
      </c>
      <c r="AJ116" s="124">
        <f t="shared" si="137"/>
        <v>4.1095890410958909E-3</v>
      </c>
      <c r="AK116" s="124">
        <f t="shared" si="137"/>
        <v>4.1095890410958909E-3</v>
      </c>
      <c r="AL116" s="124">
        <f t="shared" si="137"/>
        <v>4.1095890410958909E-3</v>
      </c>
      <c r="AM116" s="124">
        <f t="shared" si="137"/>
        <v>4.1095890410958909E-3</v>
      </c>
      <c r="AN116" s="124">
        <f t="shared" si="137"/>
        <v>4.1095890410958909E-3</v>
      </c>
      <c r="AO116" s="124">
        <f t="shared" si="137"/>
        <v>4.1095890410958909E-3</v>
      </c>
      <c r="AP116" s="124">
        <f t="shared" si="137"/>
        <v>4.1095890410958909E-3</v>
      </c>
      <c r="AQ116" s="241">
        <f t="shared" si="137"/>
        <v>4.1095890410958909E-3</v>
      </c>
    </row>
    <row r="117" spans="2:43" x14ac:dyDescent="0.3">
      <c r="B117" s="125" t="s">
        <v>96</v>
      </c>
      <c r="C117" s="397"/>
      <c r="D117" s="238">
        <f>1/$C$15*D15*$H$24</f>
        <v>0.27123287671232882</v>
      </c>
      <c r="E117" s="238">
        <f t="shared" ref="E117:G117" si="138">1/$C$15*E15*$H$24</f>
        <v>0.27424657534246577</v>
      </c>
      <c r="F117" s="238">
        <f t="shared" si="138"/>
        <v>0.27726027397260278</v>
      </c>
      <c r="G117" s="342">
        <f t="shared" si="138"/>
        <v>0.27726027397260278</v>
      </c>
      <c r="H117" s="345">
        <f>1/$C$15*H15*$I$24</f>
        <v>0.10616438356164383</v>
      </c>
      <c r="I117" s="238">
        <f t="shared" ref="I117:S117" si="139">1/$C$15*I15*$I$24</f>
        <v>9.5890410958904118E-2</v>
      </c>
      <c r="J117" s="238">
        <f t="shared" si="139"/>
        <v>0.10616438356164383</v>
      </c>
      <c r="K117" s="238">
        <f t="shared" si="139"/>
        <v>0.10273972602739725</v>
      </c>
      <c r="L117" s="238">
        <f t="shared" si="139"/>
        <v>0.10616438356164383</v>
      </c>
      <c r="M117" s="238">
        <f t="shared" si="139"/>
        <v>0.10273972602739725</v>
      </c>
      <c r="N117" s="238">
        <f t="shared" si="139"/>
        <v>0.10616438356164383</v>
      </c>
      <c r="O117" s="238">
        <f t="shared" si="139"/>
        <v>0.10616438356164383</v>
      </c>
      <c r="P117" s="238">
        <f t="shared" si="139"/>
        <v>0.10273972602739725</v>
      </c>
      <c r="Q117" s="238">
        <f t="shared" si="139"/>
        <v>0.10616438356164383</v>
      </c>
      <c r="R117" s="238">
        <f t="shared" si="139"/>
        <v>0.10273972602739725</v>
      </c>
      <c r="S117" s="342">
        <f t="shared" si="139"/>
        <v>0.10616438356164383</v>
      </c>
      <c r="T117" s="345">
        <f>1/$C$15*$J$24</f>
        <v>4.1095890410958909E-3</v>
      </c>
      <c r="U117" s="238">
        <f t="shared" ref="U117:AE117" si="140">1/$C$15*$J$24</f>
        <v>4.1095890410958909E-3</v>
      </c>
      <c r="V117" s="238">
        <f t="shared" si="140"/>
        <v>4.1095890410958909E-3</v>
      </c>
      <c r="W117" s="238">
        <f t="shared" si="140"/>
        <v>4.1095890410958909E-3</v>
      </c>
      <c r="X117" s="238">
        <f t="shared" si="140"/>
        <v>4.1095890410958909E-3</v>
      </c>
      <c r="Y117" s="238">
        <f t="shared" si="140"/>
        <v>4.1095890410958909E-3</v>
      </c>
      <c r="Z117" s="238">
        <f t="shared" si="140"/>
        <v>4.1095890410958909E-3</v>
      </c>
      <c r="AA117" s="238">
        <f t="shared" si="140"/>
        <v>4.1095890410958909E-3</v>
      </c>
      <c r="AB117" s="238">
        <f t="shared" si="140"/>
        <v>4.1095890410958909E-3</v>
      </c>
      <c r="AC117" s="238">
        <f t="shared" si="140"/>
        <v>4.1095890410958909E-3</v>
      </c>
      <c r="AD117" s="238">
        <f t="shared" si="140"/>
        <v>4.1095890410958909E-3</v>
      </c>
      <c r="AE117" s="342">
        <f t="shared" si="140"/>
        <v>4.1095890410958909E-3</v>
      </c>
      <c r="AF117" s="345">
        <f>1/$C$15*$K$24</f>
        <v>4.1095890410958909E-3</v>
      </c>
      <c r="AG117" s="124">
        <f t="shared" ref="AG117:AQ117" si="141">1/$C$15*$K$24</f>
        <v>4.1095890410958909E-3</v>
      </c>
      <c r="AH117" s="124">
        <f t="shared" si="141"/>
        <v>4.1095890410958909E-3</v>
      </c>
      <c r="AI117" s="124">
        <f t="shared" si="141"/>
        <v>4.1095890410958909E-3</v>
      </c>
      <c r="AJ117" s="124">
        <f t="shared" si="141"/>
        <v>4.1095890410958909E-3</v>
      </c>
      <c r="AK117" s="124">
        <f t="shared" si="141"/>
        <v>4.1095890410958909E-3</v>
      </c>
      <c r="AL117" s="124">
        <f t="shared" si="141"/>
        <v>4.1095890410958909E-3</v>
      </c>
      <c r="AM117" s="124">
        <f t="shared" si="141"/>
        <v>4.1095890410958909E-3</v>
      </c>
      <c r="AN117" s="124">
        <f t="shared" si="141"/>
        <v>4.1095890410958909E-3</v>
      </c>
      <c r="AO117" s="124">
        <f t="shared" si="141"/>
        <v>4.1095890410958909E-3</v>
      </c>
      <c r="AP117" s="124">
        <f t="shared" si="141"/>
        <v>4.1095890410958909E-3</v>
      </c>
      <c r="AQ117" s="241">
        <f t="shared" si="141"/>
        <v>4.1095890410958909E-3</v>
      </c>
    </row>
    <row r="118" spans="2:43" x14ac:dyDescent="0.3">
      <c r="B118" s="125" t="s">
        <v>97</v>
      </c>
      <c r="C118" s="397"/>
      <c r="D118" s="238">
        <f>1/$C$15*D15*$L$24*D42</f>
        <v>0.49006849315068496</v>
      </c>
      <c r="E118" s="238">
        <f t="shared" ref="E118:G118" si="142">1/$C$15*E15*$L$24*E42</f>
        <v>0.20568493150684933</v>
      </c>
      <c r="F118" s="238">
        <f t="shared" si="142"/>
        <v>0.20479452054794522</v>
      </c>
      <c r="G118" s="342">
        <f t="shared" si="142"/>
        <v>0.3465753424657535</v>
      </c>
      <c r="H118" s="345">
        <f>1/$C$15*H15*$M$24*H42</f>
        <v>0.20765753424657535</v>
      </c>
      <c r="I118" s="238">
        <f t="shared" ref="I118:S118" si="143">1/$C$15*I15*$M$24*I42</f>
        <v>0.16684931506849315</v>
      </c>
      <c r="J118" s="238">
        <f t="shared" si="143"/>
        <v>0.21657534246575341</v>
      </c>
      <c r="K118" s="238">
        <f t="shared" si="143"/>
        <v>9.1232876712328756E-2</v>
      </c>
      <c r="L118" s="238">
        <f t="shared" si="143"/>
        <v>7.516438356164383E-2</v>
      </c>
      <c r="M118" s="238">
        <f t="shared" si="143"/>
        <v>8.0136986301369867E-2</v>
      </c>
      <c r="N118" s="238">
        <f t="shared" si="143"/>
        <v>5.4780821917808219E-2</v>
      </c>
      <c r="O118" s="238">
        <f t="shared" si="143"/>
        <v>8.5356164383561653E-2</v>
      </c>
      <c r="P118" s="238">
        <f t="shared" si="143"/>
        <v>0.10356164383561643</v>
      </c>
      <c r="Q118" s="238">
        <f t="shared" si="143"/>
        <v>0.13504109589041097</v>
      </c>
      <c r="R118" s="238">
        <f t="shared" si="143"/>
        <v>0.14054794520547942</v>
      </c>
      <c r="S118" s="342">
        <f t="shared" si="143"/>
        <v>0.1414109589041096</v>
      </c>
      <c r="T118" s="345">
        <f>1/$C$15*$N$24*T42</f>
        <v>1.3397260273972603E-2</v>
      </c>
      <c r="U118" s="238">
        <f t="shared" ref="U118:AE118" si="144">1/$C$15*$N$24*U42</f>
        <v>1.1917808219178084E-2</v>
      </c>
      <c r="V118" s="238">
        <f t="shared" si="144"/>
        <v>1.3972602739726029E-2</v>
      </c>
      <c r="W118" s="238">
        <f t="shared" si="144"/>
        <v>6.0821917808219182E-3</v>
      </c>
      <c r="X118" s="238">
        <f t="shared" si="144"/>
        <v>4.8493150684931511E-3</v>
      </c>
      <c r="Y118" s="238">
        <f t="shared" si="144"/>
        <v>5.342465753424658E-3</v>
      </c>
      <c r="Z118" s="238">
        <f t="shared" si="144"/>
        <v>3.5342465753424659E-3</v>
      </c>
      <c r="AA118" s="238">
        <f t="shared" si="144"/>
        <v>5.5068493150684942E-3</v>
      </c>
      <c r="AB118" s="238">
        <f t="shared" si="144"/>
        <v>6.9041095890410966E-3</v>
      </c>
      <c r="AC118" s="238">
        <f t="shared" si="144"/>
        <v>8.7123287671232886E-3</v>
      </c>
      <c r="AD118" s="238">
        <f t="shared" si="144"/>
        <v>9.3698630136986299E-3</v>
      </c>
      <c r="AE118" s="342">
        <f t="shared" si="144"/>
        <v>9.1232876712328791E-3</v>
      </c>
      <c r="AF118" s="345">
        <f>T118</f>
        <v>1.3397260273972603E-2</v>
      </c>
      <c r="AG118" s="124">
        <f t="shared" ref="AG118:AG120" si="145">U118</f>
        <v>1.1917808219178084E-2</v>
      </c>
      <c r="AH118" s="124">
        <f t="shared" ref="AH118:AH120" si="146">V118</f>
        <v>1.3972602739726029E-2</v>
      </c>
      <c r="AI118" s="124">
        <f t="shared" ref="AI118:AI120" si="147">W118</f>
        <v>6.0821917808219182E-3</v>
      </c>
      <c r="AJ118" s="124">
        <f t="shared" ref="AJ118:AJ120" si="148">X118</f>
        <v>4.8493150684931511E-3</v>
      </c>
      <c r="AK118" s="124">
        <f>Y118</f>
        <v>5.342465753424658E-3</v>
      </c>
      <c r="AL118" s="124">
        <f t="shared" ref="AL118:AL120" si="149">Z118</f>
        <v>3.5342465753424659E-3</v>
      </c>
      <c r="AM118" s="124">
        <f t="shared" ref="AM118:AM120" si="150">AA118</f>
        <v>5.5068493150684942E-3</v>
      </c>
      <c r="AN118" s="124">
        <f t="shared" ref="AN118:AN120" si="151">AB118</f>
        <v>6.9041095890410966E-3</v>
      </c>
      <c r="AO118" s="124">
        <f t="shared" ref="AO118:AO120" si="152">AC118</f>
        <v>8.7123287671232886E-3</v>
      </c>
      <c r="AP118" s="124">
        <f t="shared" ref="AP118:AP120" si="153">AD118</f>
        <v>9.3698630136986299E-3</v>
      </c>
      <c r="AQ118" s="241">
        <f>AE118</f>
        <v>9.1232876712328791E-3</v>
      </c>
    </row>
    <row r="119" spans="2:43" x14ac:dyDescent="0.3">
      <c r="B119" s="340" t="s">
        <v>174</v>
      </c>
      <c r="C119" s="397"/>
      <c r="D119" s="238">
        <f>D117</f>
        <v>0.27123287671232882</v>
      </c>
      <c r="E119" s="238">
        <f t="shared" ref="E119:AQ119" si="154">E117</f>
        <v>0.27424657534246577</v>
      </c>
      <c r="F119" s="238">
        <f t="shared" si="154"/>
        <v>0.27726027397260278</v>
      </c>
      <c r="G119" s="342">
        <f t="shared" si="154"/>
        <v>0.27726027397260278</v>
      </c>
      <c r="H119" s="345">
        <f>H117</f>
        <v>0.10616438356164383</v>
      </c>
      <c r="I119" s="238">
        <f t="shared" si="154"/>
        <v>9.5890410958904118E-2</v>
      </c>
      <c r="J119" s="238">
        <f t="shared" si="154"/>
        <v>0.10616438356164383</v>
      </c>
      <c r="K119" s="238">
        <f t="shared" si="154"/>
        <v>0.10273972602739725</v>
      </c>
      <c r="L119" s="238">
        <f t="shared" si="154"/>
        <v>0.10616438356164383</v>
      </c>
      <c r="M119" s="238">
        <f t="shared" si="154"/>
        <v>0.10273972602739725</v>
      </c>
      <c r="N119" s="238">
        <f t="shared" si="154"/>
        <v>0.10616438356164383</v>
      </c>
      <c r="O119" s="238">
        <f t="shared" si="154"/>
        <v>0.10616438356164383</v>
      </c>
      <c r="P119" s="238">
        <f t="shared" si="154"/>
        <v>0.10273972602739725</v>
      </c>
      <c r="Q119" s="238">
        <f t="shared" si="154"/>
        <v>0.10616438356164383</v>
      </c>
      <c r="R119" s="238">
        <f t="shared" si="154"/>
        <v>0.10273972602739725</v>
      </c>
      <c r="S119" s="342">
        <f t="shared" si="154"/>
        <v>0.10616438356164383</v>
      </c>
      <c r="T119" s="345">
        <f>T117</f>
        <v>4.1095890410958909E-3</v>
      </c>
      <c r="U119" s="238">
        <f t="shared" si="154"/>
        <v>4.1095890410958909E-3</v>
      </c>
      <c r="V119" s="238">
        <f t="shared" si="154"/>
        <v>4.1095890410958909E-3</v>
      </c>
      <c r="W119" s="238">
        <f t="shared" si="154"/>
        <v>4.1095890410958909E-3</v>
      </c>
      <c r="X119" s="238">
        <f t="shared" si="154"/>
        <v>4.1095890410958909E-3</v>
      </c>
      <c r="Y119" s="238">
        <f t="shared" si="154"/>
        <v>4.1095890410958909E-3</v>
      </c>
      <c r="Z119" s="238">
        <f t="shared" si="154"/>
        <v>4.1095890410958909E-3</v>
      </c>
      <c r="AA119" s="238">
        <f t="shared" si="154"/>
        <v>4.1095890410958909E-3</v>
      </c>
      <c r="AB119" s="238">
        <f t="shared" si="154"/>
        <v>4.1095890410958909E-3</v>
      </c>
      <c r="AC119" s="238">
        <f t="shared" si="154"/>
        <v>4.1095890410958909E-3</v>
      </c>
      <c r="AD119" s="238">
        <f t="shared" si="154"/>
        <v>4.1095890410958909E-3</v>
      </c>
      <c r="AE119" s="342">
        <f>AE117</f>
        <v>4.1095890410958909E-3</v>
      </c>
      <c r="AF119" s="345">
        <f>AF117</f>
        <v>4.1095890410958909E-3</v>
      </c>
      <c r="AG119" s="238">
        <f t="shared" si="154"/>
        <v>4.1095890410958909E-3</v>
      </c>
      <c r="AH119" s="238">
        <f t="shared" si="154"/>
        <v>4.1095890410958909E-3</v>
      </c>
      <c r="AI119" s="238">
        <f t="shared" si="154"/>
        <v>4.1095890410958909E-3</v>
      </c>
      <c r="AJ119" s="238">
        <f t="shared" si="154"/>
        <v>4.1095890410958909E-3</v>
      </c>
      <c r="AK119" s="238">
        <f t="shared" si="154"/>
        <v>4.1095890410958909E-3</v>
      </c>
      <c r="AL119" s="238">
        <f t="shared" si="154"/>
        <v>4.1095890410958909E-3</v>
      </c>
      <c r="AM119" s="238">
        <f t="shared" si="154"/>
        <v>4.1095890410958909E-3</v>
      </c>
      <c r="AN119" s="238">
        <f t="shared" si="154"/>
        <v>4.1095890410958909E-3</v>
      </c>
      <c r="AO119" s="238">
        <f t="shared" si="154"/>
        <v>4.1095890410958909E-3</v>
      </c>
      <c r="AP119" s="238">
        <f t="shared" si="154"/>
        <v>4.1095890410958909E-3</v>
      </c>
      <c r="AQ119" s="241">
        <f t="shared" si="154"/>
        <v>4.1095890410958909E-3</v>
      </c>
    </row>
    <row r="120" spans="2:43" x14ac:dyDescent="0.3">
      <c r="B120" s="125" t="s">
        <v>11</v>
      </c>
      <c r="C120" s="398"/>
      <c r="D120" s="238">
        <f>1/$C$15*D15*$L$24*D34</f>
        <v>0.50239726027397258</v>
      </c>
      <c r="E120" s="238">
        <f t="shared" ref="E120:G120" si="155">1/$C$15*E15*$L$24*E34</f>
        <v>0.22438356164383563</v>
      </c>
      <c r="F120" s="238">
        <f t="shared" si="155"/>
        <v>0.13547945205479453</v>
      </c>
      <c r="G120" s="342">
        <f t="shared" si="155"/>
        <v>0.38438356164383564</v>
      </c>
      <c r="H120" s="345">
        <f>1/$C$15*H15*$M$24*H34</f>
        <v>0.24842465753424658</v>
      </c>
      <c r="I120" s="238">
        <f t="shared" ref="I120:S120" si="156">1/$C$15*I15*$M$24*I34</f>
        <v>0.16799999999999998</v>
      </c>
      <c r="J120" s="238">
        <f t="shared" si="156"/>
        <v>0.18727397260273973</v>
      </c>
      <c r="K120" s="238">
        <f t="shared" si="156"/>
        <v>0.10726027397260274</v>
      </c>
      <c r="L120" s="238">
        <f t="shared" si="156"/>
        <v>8.9178082191780819E-2</v>
      </c>
      <c r="M120" s="238">
        <f t="shared" si="156"/>
        <v>7.3972602739726015E-2</v>
      </c>
      <c r="N120" s="238">
        <f t="shared" si="156"/>
        <v>3.3123287671232876E-2</v>
      </c>
      <c r="O120" s="238">
        <f t="shared" si="156"/>
        <v>3.4397260273972607E-2</v>
      </c>
      <c r="P120" s="238">
        <f t="shared" si="156"/>
        <v>9.4931506849315062E-2</v>
      </c>
      <c r="Q120" s="238">
        <f t="shared" si="156"/>
        <v>0.13758904109589043</v>
      </c>
      <c r="R120" s="238">
        <f t="shared" si="156"/>
        <v>0.14794520547945203</v>
      </c>
      <c r="S120" s="342">
        <f t="shared" si="156"/>
        <v>0.17453424657534247</v>
      </c>
      <c r="T120" s="345">
        <f>1/$C$15*$N$24*T34</f>
        <v>1.6027397260273975E-2</v>
      </c>
      <c r="U120" s="238">
        <f t="shared" ref="U120:AE120" si="157">1/$C$15*$N$24*U34</f>
        <v>1.2E-2</v>
      </c>
      <c r="V120" s="238">
        <f t="shared" si="157"/>
        <v>1.2082191780821918E-2</v>
      </c>
      <c r="W120" s="238">
        <f t="shared" si="157"/>
        <v>7.15068493150685E-3</v>
      </c>
      <c r="X120" s="238">
        <f t="shared" si="157"/>
        <v>5.7534246575342467E-3</v>
      </c>
      <c r="Y120" s="238">
        <f t="shared" si="157"/>
        <v>4.9315068493150692E-3</v>
      </c>
      <c r="Z120" s="238">
        <f t="shared" si="157"/>
        <v>2.1369863013698635E-3</v>
      </c>
      <c r="AA120" s="238">
        <f t="shared" si="157"/>
        <v>2.2191780821917812E-3</v>
      </c>
      <c r="AB120" s="238">
        <f t="shared" si="157"/>
        <v>6.3287671232876725E-3</v>
      </c>
      <c r="AC120" s="238">
        <f t="shared" si="157"/>
        <v>8.8767123287671248E-3</v>
      </c>
      <c r="AD120" s="238">
        <f t="shared" si="157"/>
        <v>9.8630136986301385E-3</v>
      </c>
      <c r="AE120" s="342">
        <f t="shared" si="157"/>
        <v>1.1260273972602743E-2</v>
      </c>
      <c r="AF120" s="345">
        <f>T120</f>
        <v>1.6027397260273975E-2</v>
      </c>
      <c r="AG120" s="124">
        <f t="shared" si="145"/>
        <v>1.2E-2</v>
      </c>
      <c r="AH120" s="124">
        <f t="shared" si="146"/>
        <v>1.2082191780821918E-2</v>
      </c>
      <c r="AI120" s="124">
        <f t="shared" si="147"/>
        <v>7.15068493150685E-3</v>
      </c>
      <c r="AJ120" s="124">
        <f t="shared" si="148"/>
        <v>5.7534246575342467E-3</v>
      </c>
      <c r="AK120" s="124">
        <f>Y120</f>
        <v>4.9315068493150692E-3</v>
      </c>
      <c r="AL120" s="124">
        <f t="shared" si="149"/>
        <v>2.1369863013698635E-3</v>
      </c>
      <c r="AM120" s="124">
        <f t="shared" si="150"/>
        <v>2.2191780821917812E-3</v>
      </c>
      <c r="AN120" s="124">
        <f t="shared" si="151"/>
        <v>6.3287671232876725E-3</v>
      </c>
      <c r="AO120" s="124">
        <f t="shared" si="152"/>
        <v>8.8767123287671248E-3</v>
      </c>
      <c r="AP120" s="124">
        <f t="shared" si="153"/>
        <v>9.8630136986301385E-3</v>
      </c>
      <c r="AQ120" s="241">
        <f t="shared" ref="AQ120" si="158">AE120</f>
        <v>1.1260273972602743E-2</v>
      </c>
    </row>
    <row r="121" spans="2:43" x14ac:dyDescent="0.3">
      <c r="B121" s="128" t="s">
        <v>93</v>
      </c>
      <c r="C121" s="247">
        <f>ROUND('Tariffs_ref. prices until 2023'!I96,2)</f>
        <v>142.77000000000001</v>
      </c>
      <c r="D121" s="239">
        <f>$C$121*D116</f>
        <v>38.723917808219191</v>
      </c>
      <c r="E121" s="239">
        <f t="shared" ref="E121:AQ121" si="159">$C$121*E116</f>
        <v>39.154183561643841</v>
      </c>
      <c r="F121" s="239">
        <f t="shared" si="159"/>
        <v>39.584449315068504</v>
      </c>
      <c r="G121" s="343">
        <f t="shared" si="159"/>
        <v>39.584449315068504</v>
      </c>
      <c r="H121" s="346">
        <f t="shared" si="159"/>
        <v>15.15708904109589</v>
      </c>
      <c r="I121" s="239">
        <f t="shared" si="159"/>
        <v>13.690273972602743</v>
      </c>
      <c r="J121" s="239">
        <f t="shared" si="159"/>
        <v>15.15708904109589</v>
      </c>
      <c r="K121" s="239">
        <f t="shared" si="159"/>
        <v>14.668150684931508</v>
      </c>
      <c r="L121" s="239">
        <f t="shared" si="159"/>
        <v>15.15708904109589</v>
      </c>
      <c r="M121" s="239">
        <f t="shared" si="159"/>
        <v>14.668150684931508</v>
      </c>
      <c r="N121" s="239">
        <f t="shared" si="159"/>
        <v>15.15708904109589</v>
      </c>
      <c r="O121" s="239">
        <f t="shared" si="159"/>
        <v>15.15708904109589</v>
      </c>
      <c r="P121" s="239">
        <f t="shared" si="159"/>
        <v>14.668150684931508</v>
      </c>
      <c r="Q121" s="239">
        <f t="shared" si="159"/>
        <v>15.15708904109589</v>
      </c>
      <c r="R121" s="239">
        <f t="shared" si="159"/>
        <v>14.668150684931508</v>
      </c>
      <c r="S121" s="343">
        <f t="shared" si="159"/>
        <v>15.15708904109589</v>
      </c>
      <c r="T121" s="346">
        <f t="shared" si="159"/>
        <v>0.58672602739726043</v>
      </c>
      <c r="U121" s="239">
        <f t="shared" si="159"/>
        <v>0.58672602739726043</v>
      </c>
      <c r="V121" s="239">
        <f t="shared" si="159"/>
        <v>0.58672602739726043</v>
      </c>
      <c r="W121" s="239">
        <f t="shared" si="159"/>
        <v>0.58672602739726043</v>
      </c>
      <c r="X121" s="239">
        <f t="shared" si="159"/>
        <v>0.58672602739726043</v>
      </c>
      <c r="Y121" s="239">
        <f t="shared" si="159"/>
        <v>0.58672602739726043</v>
      </c>
      <c r="Z121" s="239">
        <f t="shared" si="159"/>
        <v>0.58672602739726043</v>
      </c>
      <c r="AA121" s="239">
        <f t="shared" si="159"/>
        <v>0.58672602739726043</v>
      </c>
      <c r="AB121" s="239">
        <f t="shared" si="159"/>
        <v>0.58672602739726043</v>
      </c>
      <c r="AC121" s="239">
        <f t="shared" si="159"/>
        <v>0.58672602739726043</v>
      </c>
      <c r="AD121" s="239">
        <f t="shared" si="159"/>
        <v>0.58672602739726043</v>
      </c>
      <c r="AE121" s="343">
        <f t="shared" si="159"/>
        <v>0.58672602739726043</v>
      </c>
      <c r="AF121" s="346">
        <f t="shared" si="159"/>
        <v>0.58672602739726043</v>
      </c>
      <c r="AG121" s="239">
        <f t="shared" si="159"/>
        <v>0.58672602739726043</v>
      </c>
      <c r="AH121" s="239">
        <f t="shared" si="159"/>
        <v>0.58672602739726043</v>
      </c>
      <c r="AI121" s="239">
        <f t="shared" si="159"/>
        <v>0.58672602739726043</v>
      </c>
      <c r="AJ121" s="239">
        <f t="shared" si="159"/>
        <v>0.58672602739726043</v>
      </c>
      <c r="AK121" s="239">
        <f t="shared" si="159"/>
        <v>0.58672602739726043</v>
      </c>
      <c r="AL121" s="239">
        <f t="shared" si="159"/>
        <v>0.58672602739726043</v>
      </c>
      <c r="AM121" s="239">
        <f t="shared" si="159"/>
        <v>0.58672602739726043</v>
      </c>
      <c r="AN121" s="239">
        <f t="shared" si="159"/>
        <v>0.58672602739726043</v>
      </c>
      <c r="AO121" s="239">
        <f t="shared" si="159"/>
        <v>0.58672602739726043</v>
      </c>
      <c r="AP121" s="239">
        <f t="shared" si="159"/>
        <v>0.58672602739726043</v>
      </c>
      <c r="AQ121" s="242">
        <f t="shared" si="159"/>
        <v>0.58672602739726043</v>
      </c>
    </row>
    <row r="122" spans="2:43" x14ac:dyDescent="0.3">
      <c r="B122" s="128" t="s">
        <v>138</v>
      </c>
      <c r="C122" s="247">
        <f>ROUND('Tariffs_ref. prices until 2023'!I97,2)</f>
        <v>29.31</v>
      </c>
      <c r="D122" s="239">
        <f>$C$122*D116</f>
        <v>7.9498356164383575</v>
      </c>
      <c r="E122" s="239">
        <f t="shared" ref="E122:AQ122" si="160">$C$122*E116</f>
        <v>8.0381671232876712</v>
      </c>
      <c r="F122" s="239">
        <f t="shared" si="160"/>
        <v>8.1264986301369877</v>
      </c>
      <c r="G122" s="343">
        <f t="shared" si="160"/>
        <v>8.1264986301369877</v>
      </c>
      <c r="H122" s="346">
        <f t="shared" si="160"/>
        <v>3.1116780821917804</v>
      </c>
      <c r="I122" s="239">
        <f t="shared" si="160"/>
        <v>2.8105479452054798</v>
      </c>
      <c r="J122" s="239">
        <f t="shared" si="160"/>
        <v>3.1116780821917804</v>
      </c>
      <c r="K122" s="239">
        <f t="shared" si="160"/>
        <v>3.0113013698630136</v>
      </c>
      <c r="L122" s="239">
        <f t="shared" si="160"/>
        <v>3.1116780821917804</v>
      </c>
      <c r="M122" s="239">
        <f t="shared" si="160"/>
        <v>3.0113013698630136</v>
      </c>
      <c r="N122" s="239">
        <f t="shared" si="160"/>
        <v>3.1116780821917804</v>
      </c>
      <c r="O122" s="239">
        <f t="shared" si="160"/>
        <v>3.1116780821917804</v>
      </c>
      <c r="P122" s="239">
        <f t="shared" si="160"/>
        <v>3.0113013698630136</v>
      </c>
      <c r="Q122" s="239">
        <f t="shared" si="160"/>
        <v>3.1116780821917804</v>
      </c>
      <c r="R122" s="239">
        <f t="shared" si="160"/>
        <v>3.0113013698630136</v>
      </c>
      <c r="S122" s="343">
        <f t="shared" si="160"/>
        <v>3.1116780821917804</v>
      </c>
      <c r="T122" s="346">
        <f t="shared" si="160"/>
        <v>0.12045205479452055</v>
      </c>
      <c r="U122" s="239">
        <f t="shared" si="160"/>
        <v>0.12045205479452055</v>
      </c>
      <c r="V122" s="239">
        <f t="shared" si="160"/>
        <v>0.12045205479452055</v>
      </c>
      <c r="W122" s="239">
        <f t="shared" si="160"/>
        <v>0.12045205479452055</v>
      </c>
      <c r="X122" s="239">
        <f t="shared" si="160"/>
        <v>0.12045205479452055</v>
      </c>
      <c r="Y122" s="239">
        <f t="shared" si="160"/>
        <v>0.12045205479452055</v>
      </c>
      <c r="Z122" s="239">
        <f t="shared" si="160"/>
        <v>0.12045205479452055</v>
      </c>
      <c r="AA122" s="239">
        <f t="shared" si="160"/>
        <v>0.12045205479452055</v>
      </c>
      <c r="AB122" s="239">
        <f t="shared" si="160"/>
        <v>0.12045205479452055</v>
      </c>
      <c r="AC122" s="239">
        <f t="shared" si="160"/>
        <v>0.12045205479452055</v>
      </c>
      <c r="AD122" s="239">
        <f t="shared" si="160"/>
        <v>0.12045205479452055</v>
      </c>
      <c r="AE122" s="343">
        <f t="shared" si="160"/>
        <v>0.12045205479452055</v>
      </c>
      <c r="AF122" s="346">
        <f t="shared" si="160"/>
        <v>0.12045205479452055</v>
      </c>
      <c r="AG122" s="239">
        <f t="shared" si="160"/>
        <v>0.12045205479452055</v>
      </c>
      <c r="AH122" s="239">
        <f t="shared" si="160"/>
        <v>0.12045205479452055</v>
      </c>
      <c r="AI122" s="239">
        <f t="shared" si="160"/>
        <v>0.12045205479452055</v>
      </c>
      <c r="AJ122" s="239">
        <f t="shared" si="160"/>
        <v>0.12045205479452055</v>
      </c>
      <c r="AK122" s="239">
        <f t="shared" si="160"/>
        <v>0.12045205479452055</v>
      </c>
      <c r="AL122" s="239">
        <f t="shared" si="160"/>
        <v>0.12045205479452055</v>
      </c>
      <c r="AM122" s="239">
        <f t="shared" si="160"/>
        <v>0.12045205479452055</v>
      </c>
      <c r="AN122" s="239">
        <f t="shared" si="160"/>
        <v>0.12045205479452055</v>
      </c>
      <c r="AO122" s="239">
        <f t="shared" si="160"/>
        <v>0.12045205479452055</v>
      </c>
      <c r="AP122" s="239">
        <f t="shared" si="160"/>
        <v>0.12045205479452055</v>
      </c>
      <c r="AQ122" s="242">
        <f t="shared" si="160"/>
        <v>0.12045205479452055</v>
      </c>
    </row>
    <row r="123" spans="2:43" x14ac:dyDescent="0.3">
      <c r="B123" s="128" t="s">
        <v>94</v>
      </c>
      <c r="C123" s="247">
        <f>ROUND('Tariffs_ref. prices until 2023'!I98,2)</f>
        <v>142.77000000000001</v>
      </c>
      <c r="D123" s="239">
        <f>$C$123*D116</f>
        <v>38.723917808219191</v>
      </c>
      <c r="E123" s="239">
        <f t="shared" ref="E123:AQ123" si="161">$C$123*E116</f>
        <v>39.154183561643841</v>
      </c>
      <c r="F123" s="239">
        <f t="shared" si="161"/>
        <v>39.584449315068504</v>
      </c>
      <c r="G123" s="343">
        <f t="shared" si="161"/>
        <v>39.584449315068504</v>
      </c>
      <c r="H123" s="346">
        <f t="shared" si="161"/>
        <v>15.15708904109589</v>
      </c>
      <c r="I123" s="239">
        <f t="shared" si="161"/>
        <v>13.690273972602743</v>
      </c>
      <c r="J123" s="239">
        <f t="shared" si="161"/>
        <v>15.15708904109589</v>
      </c>
      <c r="K123" s="239">
        <f t="shared" si="161"/>
        <v>14.668150684931508</v>
      </c>
      <c r="L123" s="239">
        <f t="shared" si="161"/>
        <v>15.15708904109589</v>
      </c>
      <c r="M123" s="239">
        <f t="shared" si="161"/>
        <v>14.668150684931508</v>
      </c>
      <c r="N123" s="239">
        <f t="shared" si="161"/>
        <v>15.15708904109589</v>
      </c>
      <c r="O123" s="239">
        <f t="shared" si="161"/>
        <v>15.15708904109589</v>
      </c>
      <c r="P123" s="239">
        <f t="shared" si="161"/>
        <v>14.668150684931508</v>
      </c>
      <c r="Q123" s="239">
        <f t="shared" si="161"/>
        <v>15.15708904109589</v>
      </c>
      <c r="R123" s="239">
        <f t="shared" si="161"/>
        <v>14.668150684931508</v>
      </c>
      <c r="S123" s="343">
        <f t="shared" si="161"/>
        <v>15.15708904109589</v>
      </c>
      <c r="T123" s="346">
        <f t="shared" si="161"/>
        <v>0.58672602739726043</v>
      </c>
      <c r="U123" s="239">
        <f t="shared" si="161"/>
        <v>0.58672602739726043</v>
      </c>
      <c r="V123" s="239">
        <f t="shared" si="161"/>
        <v>0.58672602739726043</v>
      </c>
      <c r="W123" s="239">
        <f t="shared" si="161"/>
        <v>0.58672602739726043</v>
      </c>
      <c r="X123" s="239">
        <f t="shared" si="161"/>
        <v>0.58672602739726043</v>
      </c>
      <c r="Y123" s="239">
        <f t="shared" si="161"/>
        <v>0.58672602739726043</v>
      </c>
      <c r="Z123" s="239">
        <f t="shared" si="161"/>
        <v>0.58672602739726043</v>
      </c>
      <c r="AA123" s="239">
        <f t="shared" si="161"/>
        <v>0.58672602739726043</v>
      </c>
      <c r="AB123" s="239">
        <f t="shared" si="161"/>
        <v>0.58672602739726043</v>
      </c>
      <c r="AC123" s="239">
        <f t="shared" si="161"/>
        <v>0.58672602739726043</v>
      </c>
      <c r="AD123" s="239">
        <f t="shared" si="161"/>
        <v>0.58672602739726043</v>
      </c>
      <c r="AE123" s="343">
        <f t="shared" si="161"/>
        <v>0.58672602739726043</v>
      </c>
      <c r="AF123" s="346">
        <f t="shared" si="161"/>
        <v>0.58672602739726043</v>
      </c>
      <c r="AG123" s="239">
        <f t="shared" si="161"/>
        <v>0.58672602739726043</v>
      </c>
      <c r="AH123" s="239">
        <f t="shared" si="161"/>
        <v>0.58672602739726043</v>
      </c>
      <c r="AI123" s="239">
        <f t="shared" si="161"/>
        <v>0.58672602739726043</v>
      </c>
      <c r="AJ123" s="239">
        <f t="shared" si="161"/>
        <v>0.58672602739726043</v>
      </c>
      <c r="AK123" s="239">
        <f t="shared" si="161"/>
        <v>0.58672602739726043</v>
      </c>
      <c r="AL123" s="239">
        <f t="shared" si="161"/>
        <v>0.58672602739726043</v>
      </c>
      <c r="AM123" s="239">
        <f t="shared" si="161"/>
        <v>0.58672602739726043</v>
      </c>
      <c r="AN123" s="239">
        <f t="shared" si="161"/>
        <v>0.58672602739726043</v>
      </c>
      <c r="AO123" s="239">
        <f t="shared" si="161"/>
        <v>0.58672602739726043</v>
      </c>
      <c r="AP123" s="239">
        <f t="shared" si="161"/>
        <v>0.58672602739726043</v>
      </c>
      <c r="AQ123" s="242">
        <f t="shared" si="161"/>
        <v>0.58672602739726043</v>
      </c>
    </row>
    <row r="124" spans="2:43" x14ac:dyDescent="0.3">
      <c r="B124" s="128" t="s">
        <v>95</v>
      </c>
      <c r="C124" s="247">
        <f>ROUND('Tariffs_ref. prices until 2023'!I99,2)</f>
        <v>35.69</v>
      </c>
      <c r="D124" s="239">
        <f>$C$124*D116</f>
        <v>9.6803013698630149</v>
      </c>
      <c r="E124" s="239">
        <f t="shared" ref="E124:AQ124" si="162">$C$124*E116</f>
        <v>9.7878602739726031</v>
      </c>
      <c r="F124" s="239">
        <f t="shared" si="162"/>
        <v>9.895419178082193</v>
      </c>
      <c r="G124" s="343">
        <f t="shared" si="162"/>
        <v>9.895419178082193</v>
      </c>
      <c r="H124" s="346">
        <f t="shared" si="162"/>
        <v>3.7890068493150681</v>
      </c>
      <c r="I124" s="239">
        <f t="shared" si="162"/>
        <v>3.4223287671232878</v>
      </c>
      <c r="J124" s="239">
        <f t="shared" si="162"/>
        <v>3.7890068493150681</v>
      </c>
      <c r="K124" s="239">
        <f t="shared" si="162"/>
        <v>3.6667808219178077</v>
      </c>
      <c r="L124" s="239">
        <f t="shared" si="162"/>
        <v>3.7890068493150681</v>
      </c>
      <c r="M124" s="239">
        <f t="shared" si="162"/>
        <v>3.6667808219178077</v>
      </c>
      <c r="N124" s="239">
        <f t="shared" si="162"/>
        <v>3.7890068493150681</v>
      </c>
      <c r="O124" s="239">
        <f t="shared" si="162"/>
        <v>3.7890068493150681</v>
      </c>
      <c r="P124" s="239">
        <f t="shared" si="162"/>
        <v>3.6667808219178077</v>
      </c>
      <c r="Q124" s="239">
        <f t="shared" si="162"/>
        <v>3.7890068493150681</v>
      </c>
      <c r="R124" s="239">
        <f t="shared" si="162"/>
        <v>3.6667808219178077</v>
      </c>
      <c r="S124" s="343">
        <f t="shared" si="162"/>
        <v>3.7890068493150681</v>
      </c>
      <c r="T124" s="346">
        <f t="shared" si="162"/>
        <v>0.14667123287671233</v>
      </c>
      <c r="U124" s="239">
        <f t="shared" si="162"/>
        <v>0.14667123287671233</v>
      </c>
      <c r="V124" s="239">
        <f t="shared" si="162"/>
        <v>0.14667123287671233</v>
      </c>
      <c r="W124" s="239">
        <f t="shared" si="162"/>
        <v>0.14667123287671233</v>
      </c>
      <c r="X124" s="239">
        <f t="shared" si="162"/>
        <v>0.14667123287671233</v>
      </c>
      <c r="Y124" s="239">
        <f t="shared" si="162"/>
        <v>0.14667123287671233</v>
      </c>
      <c r="Z124" s="239">
        <f t="shared" si="162"/>
        <v>0.14667123287671233</v>
      </c>
      <c r="AA124" s="239">
        <f t="shared" si="162"/>
        <v>0.14667123287671233</v>
      </c>
      <c r="AB124" s="239">
        <f t="shared" si="162"/>
        <v>0.14667123287671233</v>
      </c>
      <c r="AC124" s="239">
        <f t="shared" si="162"/>
        <v>0.14667123287671233</v>
      </c>
      <c r="AD124" s="239">
        <f t="shared" si="162"/>
        <v>0.14667123287671233</v>
      </c>
      <c r="AE124" s="343">
        <f t="shared" si="162"/>
        <v>0.14667123287671233</v>
      </c>
      <c r="AF124" s="346">
        <f t="shared" si="162"/>
        <v>0.14667123287671233</v>
      </c>
      <c r="AG124" s="239">
        <f t="shared" si="162"/>
        <v>0.14667123287671233</v>
      </c>
      <c r="AH124" s="239">
        <f t="shared" si="162"/>
        <v>0.14667123287671233</v>
      </c>
      <c r="AI124" s="239">
        <f t="shared" si="162"/>
        <v>0.14667123287671233</v>
      </c>
      <c r="AJ124" s="239">
        <f t="shared" si="162"/>
        <v>0.14667123287671233</v>
      </c>
      <c r="AK124" s="239">
        <f t="shared" si="162"/>
        <v>0.14667123287671233</v>
      </c>
      <c r="AL124" s="239">
        <f t="shared" si="162"/>
        <v>0.14667123287671233</v>
      </c>
      <c r="AM124" s="239">
        <f t="shared" si="162"/>
        <v>0.14667123287671233</v>
      </c>
      <c r="AN124" s="239">
        <f t="shared" si="162"/>
        <v>0.14667123287671233</v>
      </c>
      <c r="AO124" s="239">
        <f t="shared" si="162"/>
        <v>0.14667123287671233</v>
      </c>
      <c r="AP124" s="239">
        <f t="shared" si="162"/>
        <v>0.14667123287671233</v>
      </c>
      <c r="AQ124" s="242">
        <f t="shared" si="162"/>
        <v>0.14667123287671233</v>
      </c>
    </row>
    <row r="125" spans="2:43" x14ac:dyDescent="0.3">
      <c r="B125" s="318" t="s">
        <v>172</v>
      </c>
      <c r="C125" s="247">
        <f>ROUND('Tariffs_ref. prices until 2023'!I100,2)</f>
        <v>142.77000000000001</v>
      </c>
      <c r="D125" s="239">
        <f>$C$125*D116</f>
        <v>38.723917808219191</v>
      </c>
      <c r="E125" s="239">
        <f t="shared" ref="E125:AQ125" si="163">$C$125*E116</f>
        <v>39.154183561643841</v>
      </c>
      <c r="F125" s="239">
        <f t="shared" si="163"/>
        <v>39.584449315068504</v>
      </c>
      <c r="G125" s="343">
        <f t="shared" si="163"/>
        <v>39.584449315068504</v>
      </c>
      <c r="H125" s="346">
        <f t="shared" si="163"/>
        <v>15.15708904109589</v>
      </c>
      <c r="I125" s="239">
        <f t="shared" si="163"/>
        <v>13.690273972602743</v>
      </c>
      <c r="J125" s="239">
        <f t="shared" si="163"/>
        <v>15.15708904109589</v>
      </c>
      <c r="K125" s="239">
        <f t="shared" si="163"/>
        <v>14.668150684931508</v>
      </c>
      <c r="L125" s="239">
        <f t="shared" si="163"/>
        <v>15.15708904109589</v>
      </c>
      <c r="M125" s="239">
        <f t="shared" si="163"/>
        <v>14.668150684931508</v>
      </c>
      <c r="N125" s="239">
        <f t="shared" si="163"/>
        <v>15.15708904109589</v>
      </c>
      <c r="O125" s="239">
        <f t="shared" si="163"/>
        <v>15.15708904109589</v>
      </c>
      <c r="P125" s="239">
        <f t="shared" si="163"/>
        <v>14.668150684931508</v>
      </c>
      <c r="Q125" s="239">
        <f t="shared" si="163"/>
        <v>15.15708904109589</v>
      </c>
      <c r="R125" s="239">
        <f t="shared" si="163"/>
        <v>14.668150684931508</v>
      </c>
      <c r="S125" s="343">
        <f t="shared" si="163"/>
        <v>15.15708904109589</v>
      </c>
      <c r="T125" s="346">
        <f t="shared" si="163"/>
        <v>0.58672602739726043</v>
      </c>
      <c r="U125" s="239">
        <f t="shared" si="163"/>
        <v>0.58672602739726043</v>
      </c>
      <c r="V125" s="239">
        <f t="shared" si="163"/>
        <v>0.58672602739726043</v>
      </c>
      <c r="W125" s="239">
        <f t="shared" si="163"/>
        <v>0.58672602739726043</v>
      </c>
      <c r="X125" s="239">
        <f t="shared" si="163"/>
        <v>0.58672602739726043</v>
      </c>
      <c r="Y125" s="239">
        <f t="shared" si="163"/>
        <v>0.58672602739726043</v>
      </c>
      <c r="Z125" s="239">
        <f t="shared" si="163"/>
        <v>0.58672602739726043</v>
      </c>
      <c r="AA125" s="239">
        <f t="shared" si="163"/>
        <v>0.58672602739726043</v>
      </c>
      <c r="AB125" s="239">
        <f t="shared" si="163"/>
        <v>0.58672602739726043</v>
      </c>
      <c r="AC125" s="239">
        <f t="shared" si="163"/>
        <v>0.58672602739726043</v>
      </c>
      <c r="AD125" s="239">
        <f t="shared" si="163"/>
        <v>0.58672602739726043</v>
      </c>
      <c r="AE125" s="343">
        <f t="shared" si="163"/>
        <v>0.58672602739726043</v>
      </c>
      <c r="AF125" s="346">
        <f t="shared" si="163"/>
        <v>0.58672602739726043</v>
      </c>
      <c r="AG125" s="239">
        <f t="shared" si="163"/>
        <v>0.58672602739726043</v>
      </c>
      <c r="AH125" s="239">
        <f t="shared" si="163"/>
        <v>0.58672602739726043</v>
      </c>
      <c r="AI125" s="239">
        <f t="shared" si="163"/>
        <v>0.58672602739726043</v>
      </c>
      <c r="AJ125" s="239">
        <f t="shared" si="163"/>
        <v>0.58672602739726043</v>
      </c>
      <c r="AK125" s="239">
        <f t="shared" si="163"/>
        <v>0.58672602739726043</v>
      </c>
      <c r="AL125" s="239">
        <f t="shared" si="163"/>
        <v>0.58672602739726043</v>
      </c>
      <c r="AM125" s="239">
        <f t="shared" si="163"/>
        <v>0.58672602739726043</v>
      </c>
      <c r="AN125" s="239">
        <f t="shared" si="163"/>
        <v>0.58672602739726043</v>
      </c>
      <c r="AO125" s="239">
        <f t="shared" si="163"/>
        <v>0.58672602739726043</v>
      </c>
      <c r="AP125" s="239">
        <f t="shared" si="163"/>
        <v>0.58672602739726043</v>
      </c>
      <c r="AQ125" s="242">
        <f t="shared" si="163"/>
        <v>0.58672602739726043</v>
      </c>
    </row>
    <row r="126" spans="2:43" x14ac:dyDescent="0.3">
      <c r="B126" s="128" t="s">
        <v>96</v>
      </c>
      <c r="C126" s="247">
        <f>ROUND('Tariffs_ref. prices until 2023'!I101,2)</f>
        <v>141.26</v>
      </c>
      <c r="D126" s="239">
        <f>$C$126*D117</f>
        <v>38.314356164383568</v>
      </c>
      <c r="E126" s="239">
        <f t="shared" ref="E126:AQ126" si="164">$C$126*E117</f>
        <v>38.740071232876716</v>
      </c>
      <c r="F126" s="239">
        <f t="shared" si="164"/>
        <v>39.165786301369863</v>
      </c>
      <c r="G126" s="343">
        <f t="shared" si="164"/>
        <v>39.165786301369863</v>
      </c>
      <c r="H126" s="346">
        <f t="shared" si="164"/>
        <v>14.996780821917806</v>
      </c>
      <c r="I126" s="239">
        <f t="shared" si="164"/>
        <v>13.545479452054796</v>
      </c>
      <c r="J126" s="239">
        <f t="shared" si="164"/>
        <v>14.996780821917806</v>
      </c>
      <c r="K126" s="239">
        <f t="shared" si="164"/>
        <v>14.513013698630136</v>
      </c>
      <c r="L126" s="239">
        <f t="shared" si="164"/>
        <v>14.996780821917806</v>
      </c>
      <c r="M126" s="239">
        <f t="shared" si="164"/>
        <v>14.513013698630136</v>
      </c>
      <c r="N126" s="239">
        <f t="shared" si="164"/>
        <v>14.996780821917806</v>
      </c>
      <c r="O126" s="239">
        <f t="shared" si="164"/>
        <v>14.996780821917806</v>
      </c>
      <c r="P126" s="239">
        <f t="shared" si="164"/>
        <v>14.513013698630136</v>
      </c>
      <c r="Q126" s="239">
        <f t="shared" si="164"/>
        <v>14.996780821917806</v>
      </c>
      <c r="R126" s="239">
        <f t="shared" si="164"/>
        <v>14.513013698630136</v>
      </c>
      <c r="S126" s="343">
        <f t="shared" si="164"/>
        <v>14.996780821917806</v>
      </c>
      <c r="T126" s="346">
        <f t="shared" si="164"/>
        <v>0.58052054794520547</v>
      </c>
      <c r="U126" s="239">
        <f t="shared" si="164"/>
        <v>0.58052054794520547</v>
      </c>
      <c r="V126" s="239">
        <f t="shared" si="164"/>
        <v>0.58052054794520547</v>
      </c>
      <c r="W126" s="239">
        <f t="shared" si="164"/>
        <v>0.58052054794520547</v>
      </c>
      <c r="X126" s="239">
        <f t="shared" si="164"/>
        <v>0.58052054794520547</v>
      </c>
      <c r="Y126" s="239">
        <f t="shared" si="164"/>
        <v>0.58052054794520547</v>
      </c>
      <c r="Z126" s="239">
        <f t="shared" si="164"/>
        <v>0.58052054794520547</v>
      </c>
      <c r="AA126" s="239">
        <f t="shared" si="164"/>
        <v>0.58052054794520547</v>
      </c>
      <c r="AB126" s="239">
        <f t="shared" si="164"/>
        <v>0.58052054794520547</v>
      </c>
      <c r="AC126" s="239">
        <f t="shared" si="164"/>
        <v>0.58052054794520547</v>
      </c>
      <c r="AD126" s="239">
        <f t="shared" si="164"/>
        <v>0.58052054794520547</v>
      </c>
      <c r="AE126" s="343">
        <f t="shared" si="164"/>
        <v>0.58052054794520547</v>
      </c>
      <c r="AF126" s="346">
        <f t="shared" si="164"/>
        <v>0.58052054794520547</v>
      </c>
      <c r="AG126" s="239">
        <f t="shared" si="164"/>
        <v>0.58052054794520547</v>
      </c>
      <c r="AH126" s="239">
        <f t="shared" si="164"/>
        <v>0.58052054794520547</v>
      </c>
      <c r="AI126" s="239">
        <f t="shared" si="164"/>
        <v>0.58052054794520547</v>
      </c>
      <c r="AJ126" s="239">
        <f t="shared" si="164"/>
        <v>0.58052054794520547</v>
      </c>
      <c r="AK126" s="239">
        <f t="shared" si="164"/>
        <v>0.58052054794520547</v>
      </c>
      <c r="AL126" s="239">
        <f t="shared" si="164"/>
        <v>0.58052054794520547</v>
      </c>
      <c r="AM126" s="239">
        <f t="shared" si="164"/>
        <v>0.58052054794520547</v>
      </c>
      <c r="AN126" s="239">
        <f t="shared" si="164"/>
        <v>0.58052054794520547</v>
      </c>
      <c r="AO126" s="239">
        <f t="shared" si="164"/>
        <v>0.58052054794520547</v>
      </c>
      <c r="AP126" s="239">
        <f t="shared" si="164"/>
        <v>0.58052054794520547</v>
      </c>
      <c r="AQ126" s="242">
        <f t="shared" si="164"/>
        <v>0.58052054794520547</v>
      </c>
    </row>
    <row r="127" spans="2:43" x14ac:dyDescent="0.3">
      <c r="B127" s="128" t="s">
        <v>97</v>
      </c>
      <c r="C127" s="247">
        <f>ROUND('Tariffs_ref. prices until 2023'!I102,2)</f>
        <v>52.74</v>
      </c>
      <c r="D127" s="239">
        <f>$C$127*D118</f>
        <v>25.846212328767127</v>
      </c>
      <c r="E127" s="239">
        <f t="shared" ref="E127:AQ127" si="165">$C$127*E118</f>
        <v>10.847823287671234</v>
      </c>
      <c r="F127" s="239">
        <f t="shared" si="165"/>
        <v>10.800863013698631</v>
      </c>
      <c r="G127" s="343">
        <f t="shared" si="165"/>
        <v>18.278383561643839</v>
      </c>
      <c r="H127" s="346">
        <f t="shared" si="165"/>
        <v>10.951858356164385</v>
      </c>
      <c r="I127" s="239">
        <f t="shared" si="165"/>
        <v>8.7996328767123284</v>
      </c>
      <c r="J127" s="239">
        <f t="shared" si="165"/>
        <v>11.422183561643836</v>
      </c>
      <c r="K127" s="239">
        <f t="shared" si="165"/>
        <v>4.8116219178082185</v>
      </c>
      <c r="L127" s="239">
        <f t="shared" si="165"/>
        <v>3.964169589041096</v>
      </c>
      <c r="M127" s="239">
        <f t="shared" si="165"/>
        <v>4.2264246575342472</v>
      </c>
      <c r="N127" s="239">
        <f t="shared" si="165"/>
        <v>2.8891405479452055</v>
      </c>
      <c r="O127" s="239">
        <f t="shared" si="165"/>
        <v>4.5016841095890419</v>
      </c>
      <c r="P127" s="239">
        <f t="shared" si="165"/>
        <v>5.4618410958904109</v>
      </c>
      <c r="Q127" s="239">
        <f t="shared" si="165"/>
        <v>7.1220673972602748</v>
      </c>
      <c r="R127" s="239">
        <f t="shared" si="165"/>
        <v>7.4124986301369846</v>
      </c>
      <c r="S127" s="343">
        <f t="shared" si="165"/>
        <v>7.4580139726027408</v>
      </c>
      <c r="T127" s="346">
        <f t="shared" si="165"/>
        <v>0.70657150684931513</v>
      </c>
      <c r="U127" s="239">
        <f t="shared" si="165"/>
        <v>0.62854520547945214</v>
      </c>
      <c r="V127" s="239">
        <f t="shared" si="165"/>
        <v>0.7369150684931508</v>
      </c>
      <c r="W127" s="239">
        <f t="shared" si="165"/>
        <v>0.32077479452054797</v>
      </c>
      <c r="X127" s="239">
        <f t="shared" si="165"/>
        <v>0.25575287671232882</v>
      </c>
      <c r="Y127" s="239">
        <f t="shared" si="165"/>
        <v>0.28176164383561647</v>
      </c>
      <c r="Z127" s="239">
        <f t="shared" si="165"/>
        <v>0.18639616438356166</v>
      </c>
      <c r="AA127" s="239">
        <f t="shared" si="165"/>
        <v>0.29043123287671241</v>
      </c>
      <c r="AB127" s="239">
        <f t="shared" si="165"/>
        <v>0.36412273972602743</v>
      </c>
      <c r="AC127" s="239">
        <f t="shared" si="165"/>
        <v>0.45948821917808225</v>
      </c>
      <c r="AD127" s="239">
        <f t="shared" si="165"/>
        <v>0.49416657534246577</v>
      </c>
      <c r="AE127" s="343">
        <f t="shared" si="165"/>
        <v>0.48116219178082204</v>
      </c>
      <c r="AF127" s="346">
        <f t="shared" si="165"/>
        <v>0.70657150684931513</v>
      </c>
      <c r="AG127" s="239">
        <f t="shared" si="165"/>
        <v>0.62854520547945214</v>
      </c>
      <c r="AH127" s="239">
        <f t="shared" si="165"/>
        <v>0.7369150684931508</v>
      </c>
      <c r="AI127" s="239">
        <f t="shared" si="165"/>
        <v>0.32077479452054797</v>
      </c>
      <c r="AJ127" s="239">
        <f t="shared" si="165"/>
        <v>0.25575287671232882</v>
      </c>
      <c r="AK127" s="239">
        <f t="shared" si="165"/>
        <v>0.28176164383561647</v>
      </c>
      <c r="AL127" s="239">
        <f t="shared" si="165"/>
        <v>0.18639616438356166</v>
      </c>
      <c r="AM127" s="239">
        <f t="shared" si="165"/>
        <v>0.29043123287671241</v>
      </c>
      <c r="AN127" s="239">
        <f t="shared" si="165"/>
        <v>0.36412273972602743</v>
      </c>
      <c r="AO127" s="239">
        <f t="shared" si="165"/>
        <v>0.45948821917808225</v>
      </c>
      <c r="AP127" s="239">
        <f t="shared" si="165"/>
        <v>0.49416657534246577</v>
      </c>
      <c r="AQ127" s="242">
        <f t="shared" si="165"/>
        <v>0.48116219178082204</v>
      </c>
    </row>
    <row r="128" spans="2:43" x14ac:dyDescent="0.3">
      <c r="B128" s="318" t="s">
        <v>173</v>
      </c>
      <c r="C128" s="247">
        <f>ROUND('Tariffs_ref. prices until 2023'!I103,2)</f>
        <v>141.26</v>
      </c>
      <c r="D128" s="239">
        <f>$C$128*D119</f>
        <v>38.314356164383568</v>
      </c>
      <c r="E128" s="239">
        <f t="shared" ref="E128:AQ128" si="166">$C$128*E119</f>
        <v>38.740071232876716</v>
      </c>
      <c r="F128" s="239">
        <f t="shared" si="166"/>
        <v>39.165786301369863</v>
      </c>
      <c r="G128" s="343">
        <f t="shared" si="166"/>
        <v>39.165786301369863</v>
      </c>
      <c r="H128" s="346">
        <f t="shared" si="166"/>
        <v>14.996780821917806</v>
      </c>
      <c r="I128" s="239">
        <f t="shared" si="166"/>
        <v>13.545479452054796</v>
      </c>
      <c r="J128" s="239">
        <f t="shared" si="166"/>
        <v>14.996780821917806</v>
      </c>
      <c r="K128" s="239">
        <f t="shared" si="166"/>
        <v>14.513013698630136</v>
      </c>
      <c r="L128" s="239">
        <f t="shared" si="166"/>
        <v>14.996780821917806</v>
      </c>
      <c r="M128" s="239">
        <f t="shared" si="166"/>
        <v>14.513013698630136</v>
      </c>
      <c r="N128" s="239">
        <f t="shared" si="166"/>
        <v>14.996780821917806</v>
      </c>
      <c r="O128" s="239">
        <f t="shared" si="166"/>
        <v>14.996780821917806</v>
      </c>
      <c r="P128" s="239">
        <f t="shared" si="166"/>
        <v>14.513013698630136</v>
      </c>
      <c r="Q128" s="239">
        <f t="shared" si="166"/>
        <v>14.996780821917806</v>
      </c>
      <c r="R128" s="239">
        <f t="shared" si="166"/>
        <v>14.513013698630136</v>
      </c>
      <c r="S128" s="343">
        <f t="shared" si="166"/>
        <v>14.996780821917806</v>
      </c>
      <c r="T128" s="346">
        <f t="shared" si="166"/>
        <v>0.58052054794520547</v>
      </c>
      <c r="U128" s="239">
        <f t="shared" si="166"/>
        <v>0.58052054794520547</v>
      </c>
      <c r="V128" s="239">
        <f t="shared" si="166"/>
        <v>0.58052054794520547</v>
      </c>
      <c r="W128" s="239">
        <f t="shared" si="166"/>
        <v>0.58052054794520547</v>
      </c>
      <c r="X128" s="239">
        <f t="shared" si="166"/>
        <v>0.58052054794520547</v>
      </c>
      <c r="Y128" s="239">
        <f t="shared" si="166"/>
        <v>0.58052054794520547</v>
      </c>
      <c r="Z128" s="239">
        <f t="shared" si="166"/>
        <v>0.58052054794520547</v>
      </c>
      <c r="AA128" s="239">
        <f t="shared" si="166"/>
        <v>0.58052054794520547</v>
      </c>
      <c r="AB128" s="239">
        <f t="shared" si="166"/>
        <v>0.58052054794520547</v>
      </c>
      <c r="AC128" s="239">
        <f t="shared" si="166"/>
        <v>0.58052054794520547</v>
      </c>
      <c r="AD128" s="239">
        <f t="shared" si="166"/>
        <v>0.58052054794520547</v>
      </c>
      <c r="AE128" s="343">
        <f t="shared" si="166"/>
        <v>0.58052054794520547</v>
      </c>
      <c r="AF128" s="346">
        <f t="shared" si="166"/>
        <v>0.58052054794520547</v>
      </c>
      <c r="AG128" s="239">
        <f t="shared" si="166"/>
        <v>0.58052054794520547</v>
      </c>
      <c r="AH128" s="239">
        <f t="shared" si="166"/>
        <v>0.58052054794520547</v>
      </c>
      <c r="AI128" s="239">
        <f t="shared" si="166"/>
        <v>0.58052054794520547</v>
      </c>
      <c r="AJ128" s="239">
        <f t="shared" si="166"/>
        <v>0.58052054794520547</v>
      </c>
      <c r="AK128" s="239">
        <f t="shared" si="166"/>
        <v>0.58052054794520547</v>
      </c>
      <c r="AL128" s="239">
        <f t="shared" si="166"/>
        <v>0.58052054794520547</v>
      </c>
      <c r="AM128" s="239">
        <f t="shared" si="166"/>
        <v>0.58052054794520547</v>
      </c>
      <c r="AN128" s="239">
        <f t="shared" si="166"/>
        <v>0.58052054794520547</v>
      </c>
      <c r="AO128" s="239">
        <f t="shared" si="166"/>
        <v>0.58052054794520547</v>
      </c>
      <c r="AP128" s="239">
        <f t="shared" si="166"/>
        <v>0.58052054794520547</v>
      </c>
      <c r="AQ128" s="242">
        <f t="shared" si="166"/>
        <v>0.58052054794520547</v>
      </c>
    </row>
    <row r="129" spans="2:43" ht="15" thickBot="1" x14ac:dyDescent="0.35">
      <c r="B129" s="290" t="s">
        <v>98</v>
      </c>
      <c r="C129" s="248">
        <f>ROUND('Tariffs_ref. prices until 2023'!I104,2)</f>
        <v>141.26</v>
      </c>
      <c r="D129" s="243">
        <f>$C$129*D120</f>
        <v>70.968636986301362</v>
      </c>
      <c r="E129" s="243">
        <f t="shared" ref="E129:AQ129" si="167">$C$129*E120</f>
        <v>31.69642191780822</v>
      </c>
      <c r="F129" s="243">
        <f t="shared" si="167"/>
        <v>19.137827397260274</v>
      </c>
      <c r="G129" s="344">
        <f t="shared" si="167"/>
        <v>54.298021917808221</v>
      </c>
      <c r="H129" s="347">
        <f t="shared" si="167"/>
        <v>35.092467123287669</v>
      </c>
      <c r="I129" s="243">
        <f t="shared" si="167"/>
        <v>23.731679999999997</v>
      </c>
      <c r="J129" s="243">
        <f t="shared" si="167"/>
        <v>26.454321369863013</v>
      </c>
      <c r="K129" s="243">
        <f t="shared" si="167"/>
        <v>15.151586301369862</v>
      </c>
      <c r="L129" s="243">
        <f t="shared" si="167"/>
        <v>12.597295890410958</v>
      </c>
      <c r="M129" s="243">
        <f t="shared" si="167"/>
        <v>10.449369863013697</v>
      </c>
      <c r="N129" s="243">
        <f t="shared" si="167"/>
        <v>4.6789956164383559</v>
      </c>
      <c r="O129" s="243">
        <f t="shared" si="167"/>
        <v>4.8589569863013704</v>
      </c>
      <c r="P129" s="243">
        <f t="shared" si="167"/>
        <v>13.410024657534244</v>
      </c>
      <c r="Q129" s="243">
        <f t="shared" si="167"/>
        <v>19.435827945205482</v>
      </c>
      <c r="R129" s="243">
        <f t="shared" si="167"/>
        <v>20.898739726027394</v>
      </c>
      <c r="S129" s="344">
        <f t="shared" si="167"/>
        <v>24.654707671232877</v>
      </c>
      <c r="T129" s="347">
        <f t="shared" si="167"/>
        <v>2.2640301369863014</v>
      </c>
      <c r="U129" s="243">
        <f t="shared" si="167"/>
        <v>1.69512</v>
      </c>
      <c r="V129" s="243">
        <f t="shared" si="167"/>
        <v>1.7067304109589041</v>
      </c>
      <c r="W129" s="243">
        <f t="shared" si="167"/>
        <v>1.0101057534246576</v>
      </c>
      <c r="X129" s="243">
        <f t="shared" si="167"/>
        <v>0.81272876712328768</v>
      </c>
      <c r="Y129" s="243">
        <f t="shared" si="167"/>
        <v>0.69662465753424663</v>
      </c>
      <c r="Z129" s="243">
        <f t="shared" si="167"/>
        <v>0.30187068493150693</v>
      </c>
      <c r="AA129" s="243">
        <f t="shared" si="167"/>
        <v>0.31348109589041101</v>
      </c>
      <c r="AB129" s="243">
        <f t="shared" si="167"/>
        <v>0.89400164383561653</v>
      </c>
      <c r="AC129" s="243">
        <f t="shared" si="167"/>
        <v>1.253924383561644</v>
      </c>
      <c r="AD129" s="243">
        <f t="shared" si="167"/>
        <v>1.3932493150684933</v>
      </c>
      <c r="AE129" s="344">
        <f t="shared" si="167"/>
        <v>1.5906263013698634</v>
      </c>
      <c r="AF129" s="347">
        <f t="shared" si="167"/>
        <v>2.2640301369863014</v>
      </c>
      <c r="AG129" s="243">
        <f t="shared" si="167"/>
        <v>1.69512</v>
      </c>
      <c r="AH129" s="243">
        <f t="shared" si="167"/>
        <v>1.7067304109589041</v>
      </c>
      <c r="AI129" s="243">
        <f t="shared" si="167"/>
        <v>1.0101057534246576</v>
      </c>
      <c r="AJ129" s="243">
        <f t="shared" si="167"/>
        <v>0.81272876712328768</v>
      </c>
      <c r="AK129" s="243">
        <f t="shared" si="167"/>
        <v>0.69662465753424663</v>
      </c>
      <c r="AL129" s="243">
        <f t="shared" si="167"/>
        <v>0.30187068493150693</v>
      </c>
      <c r="AM129" s="243">
        <f t="shared" si="167"/>
        <v>0.31348109589041101</v>
      </c>
      <c r="AN129" s="243">
        <f t="shared" si="167"/>
        <v>0.89400164383561653</v>
      </c>
      <c r="AO129" s="243">
        <f t="shared" si="167"/>
        <v>1.253924383561644</v>
      </c>
      <c r="AP129" s="243">
        <f t="shared" si="167"/>
        <v>1.3932493150684933</v>
      </c>
      <c r="AQ129" s="244">
        <f t="shared" si="167"/>
        <v>1.5906263013698634</v>
      </c>
    </row>
    <row r="130" spans="2:43" ht="39.6" customHeight="1" x14ac:dyDescent="0.3">
      <c r="B130" s="391" t="s">
        <v>191</v>
      </c>
      <c r="C130" s="391"/>
      <c r="D130" s="391"/>
      <c r="E130" s="391"/>
      <c r="F130" s="391"/>
      <c r="G130" s="391"/>
      <c r="H130" s="391"/>
      <c r="I130" s="391"/>
      <c r="J130" s="391"/>
      <c r="K130" s="391"/>
      <c r="L130" s="391"/>
      <c r="M130" s="391"/>
      <c r="N130" s="391"/>
      <c r="O130" s="391"/>
      <c r="P130" s="391"/>
      <c r="Q130" s="391"/>
      <c r="R130" s="391"/>
      <c r="S130" s="391"/>
      <c r="T130" s="391"/>
      <c r="U130" s="391"/>
      <c r="V130" s="391"/>
      <c r="W130" s="391"/>
      <c r="X130" s="391"/>
      <c r="Y130" s="175"/>
      <c r="Z130" s="175"/>
      <c r="AA130" s="175"/>
      <c r="AB130" s="175"/>
      <c r="AC130" s="175"/>
      <c r="AD130" s="175"/>
      <c r="AE130" s="175"/>
      <c r="AF130" s="175"/>
      <c r="AG130" s="175"/>
      <c r="AH130" s="175"/>
      <c r="AI130" s="175"/>
      <c r="AJ130" s="175"/>
      <c r="AK130" s="175"/>
      <c r="AL130" s="175"/>
      <c r="AM130" s="175"/>
      <c r="AN130" s="175"/>
      <c r="AO130" s="175"/>
      <c r="AP130" s="175"/>
      <c r="AQ130" s="175"/>
    </row>
    <row r="132" spans="2:43" ht="15.6" x14ac:dyDescent="0.3">
      <c r="B132" s="420" t="s">
        <v>120</v>
      </c>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row>
    <row r="133" spans="2:43" x14ac:dyDescent="0.3">
      <c r="B133" s="132"/>
      <c r="C133" s="396" t="s">
        <v>84</v>
      </c>
      <c r="D133" s="399" t="s">
        <v>82</v>
      </c>
      <c r="E133" s="399"/>
      <c r="F133" s="399"/>
      <c r="G133" s="400"/>
      <c r="H133" s="399" t="s">
        <v>83</v>
      </c>
      <c r="I133" s="399"/>
      <c r="J133" s="399"/>
      <c r="K133" s="399"/>
      <c r="L133" s="399"/>
      <c r="M133" s="399"/>
      <c r="N133" s="399"/>
      <c r="O133" s="399"/>
      <c r="P133" s="399"/>
      <c r="Q133" s="399"/>
      <c r="R133" s="399"/>
      <c r="S133" s="400"/>
      <c r="T133" s="399" t="s">
        <v>91</v>
      </c>
      <c r="U133" s="399"/>
      <c r="V133" s="399"/>
      <c r="W133" s="399"/>
      <c r="X133" s="399"/>
      <c r="Y133" s="399"/>
      <c r="Z133" s="399"/>
      <c r="AA133" s="399"/>
      <c r="AB133" s="399"/>
      <c r="AC133" s="399"/>
      <c r="AD133" s="399"/>
      <c r="AE133" s="401"/>
      <c r="AF133" s="402" t="s">
        <v>92</v>
      </c>
      <c r="AG133" s="399"/>
      <c r="AH133" s="399"/>
      <c r="AI133" s="399"/>
      <c r="AJ133" s="399"/>
      <c r="AK133" s="399"/>
      <c r="AL133" s="399"/>
      <c r="AM133" s="399"/>
      <c r="AN133" s="399"/>
      <c r="AO133" s="399"/>
      <c r="AP133" s="399"/>
      <c r="AQ133" s="401"/>
    </row>
    <row r="134" spans="2:43" x14ac:dyDescent="0.3">
      <c r="B134" s="125"/>
      <c r="C134" s="397"/>
      <c r="D134" s="236" t="s">
        <v>39</v>
      </c>
      <c r="E134" s="207" t="s">
        <v>40</v>
      </c>
      <c r="F134" s="207" t="s">
        <v>41</v>
      </c>
      <c r="G134" s="240" t="s">
        <v>42</v>
      </c>
      <c r="H134" s="236" t="s">
        <v>24</v>
      </c>
      <c r="I134" s="207" t="s">
        <v>25</v>
      </c>
      <c r="J134" s="207" t="s">
        <v>26</v>
      </c>
      <c r="K134" s="207" t="s">
        <v>27</v>
      </c>
      <c r="L134" s="207" t="s">
        <v>17</v>
      </c>
      <c r="M134" s="207" t="s">
        <v>28</v>
      </c>
      <c r="N134" s="207" t="s">
        <v>29</v>
      </c>
      <c r="O134" s="207" t="s">
        <v>30</v>
      </c>
      <c r="P134" s="207" t="s">
        <v>31</v>
      </c>
      <c r="Q134" s="207" t="s">
        <v>32</v>
      </c>
      <c r="R134" s="207" t="s">
        <v>33</v>
      </c>
      <c r="S134" s="240" t="s">
        <v>34</v>
      </c>
      <c r="T134" s="236" t="s">
        <v>24</v>
      </c>
      <c r="U134" s="207" t="s">
        <v>25</v>
      </c>
      <c r="V134" s="207" t="s">
        <v>26</v>
      </c>
      <c r="W134" s="207" t="s">
        <v>27</v>
      </c>
      <c r="X134" s="207" t="s">
        <v>17</v>
      </c>
      <c r="Y134" s="207" t="s">
        <v>28</v>
      </c>
      <c r="Z134" s="207" t="s">
        <v>29</v>
      </c>
      <c r="AA134" s="207" t="s">
        <v>30</v>
      </c>
      <c r="AB134" s="207" t="s">
        <v>31</v>
      </c>
      <c r="AC134" s="207" t="s">
        <v>32</v>
      </c>
      <c r="AD134" s="207" t="s">
        <v>33</v>
      </c>
      <c r="AE134" s="206" t="s">
        <v>34</v>
      </c>
      <c r="AF134" s="218" t="s">
        <v>24</v>
      </c>
      <c r="AG134" s="207" t="s">
        <v>25</v>
      </c>
      <c r="AH134" s="207" t="s">
        <v>26</v>
      </c>
      <c r="AI134" s="207" t="s">
        <v>27</v>
      </c>
      <c r="AJ134" s="207" t="s">
        <v>17</v>
      </c>
      <c r="AK134" s="207" t="s">
        <v>28</v>
      </c>
      <c r="AL134" s="207" t="s">
        <v>29</v>
      </c>
      <c r="AM134" s="207" t="s">
        <v>30</v>
      </c>
      <c r="AN134" s="207" t="s">
        <v>31</v>
      </c>
      <c r="AO134" s="207" t="s">
        <v>32</v>
      </c>
      <c r="AP134" s="207" t="s">
        <v>33</v>
      </c>
      <c r="AQ134" s="126" t="s">
        <v>34</v>
      </c>
    </row>
    <row r="135" spans="2:43" x14ac:dyDescent="0.3">
      <c r="B135" s="128" t="s">
        <v>93</v>
      </c>
      <c r="C135" s="215">
        <f t="shared" ref="C135:AQ135" si="168">ROUND(C70,2)/ROUND(C53,2)-1</f>
        <v>2.2850897376898298</v>
      </c>
      <c r="D135" s="245">
        <f t="shared" si="168"/>
        <v>1.9141791044776117</v>
      </c>
      <c r="E135" s="209">
        <f t="shared" si="168"/>
        <v>1.884047267355982</v>
      </c>
      <c r="F135" s="209">
        <f t="shared" si="168"/>
        <v>1.8838568298027756</v>
      </c>
      <c r="G135" s="215">
        <f t="shared" si="168"/>
        <v>1.8838568298027756</v>
      </c>
      <c r="H135" s="245">
        <f t="shared" si="168"/>
        <v>1.7292418772563174</v>
      </c>
      <c r="I135" s="209">
        <f t="shared" si="168"/>
        <v>1.8280000000000003</v>
      </c>
      <c r="J135" s="209">
        <f t="shared" si="168"/>
        <v>1.7292418772563174</v>
      </c>
      <c r="K135" s="209">
        <f t="shared" si="168"/>
        <v>1.7294776119402986</v>
      </c>
      <c r="L135" s="209">
        <f t="shared" si="168"/>
        <v>1.7292418772563174</v>
      </c>
      <c r="M135" s="209">
        <f t="shared" si="168"/>
        <v>1.7294776119402986</v>
      </c>
      <c r="N135" s="209">
        <f t="shared" si="168"/>
        <v>1.7292418772563174</v>
      </c>
      <c r="O135" s="209">
        <f t="shared" si="168"/>
        <v>1.7292418772563174</v>
      </c>
      <c r="P135" s="209">
        <f t="shared" si="168"/>
        <v>1.7294776119402986</v>
      </c>
      <c r="Q135" s="209">
        <f t="shared" si="168"/>
        <v>1.7292418772563174</v>
      </c>
      <c r="R135" s="209">
        <f t="shared" si="168"/>
        <v>1.7294776119402986</v>
      </c>
      <c r="S135" s="215">
        <f t="shared" si="168"/>
        <v>1.7292418772563174</v>
      </c>
      <c r="T135" s="245">
        <f t="shared" si="168"/>
        <v>1.1851851851851851</v>
      </c>
      <c r="U135" s="209">
        <f t="shared" si="168"/>
        <v>1.1851851851851851</v>
      </c>
      <c r="V135" s="209">
        <f t="shared" si="168"/>
        <v>1.1851851851851851</v>
      </c>
      <c r="W135" s="209">
        <f t="shared" si="168"/>
        <v>1.1851851851851851</v>
      </c>
      <c r="X135" s="209">
        <f t="shared" si="168"/>
        <v>1.1851851851851851</v>
      </c>
      <c r="Y135" s="209">
        <f t="shared" si="168"/>
        <v>1.1851851851851851</v>
      </c>
      <c r="Z135" s="209">
        <f t="shared" si="168"/>
        <v>1.1851851851851851</v>
      </c>
      <c r="AA135" s="209">
        <f t="shared" si="168"/>
        <v>1.1851851851851851</v>
      </c>
      <c r="AB135" s="209">
        <f t="shared" si="168"/>
        <v>1.1851851851851851</v>
      </c>
      <c r="AC135" s="209">
        <f t="shared" si="168"/>
        <v>1.1851851851851851</v>
      </c>
      <c r="AD135" s="209">
        <f t="shared" si="168"/>
        <v>1.1851851851851851</v>
      </c>
      <c r="AE135" s="213">
        <f t="shared" si="168"/>
        <v>1.1851851851851851</v>
      </c>
      <c r="AF135" s="214">
        <f>ROUND(AF70,2)/ROUND(AF53,2)-1</f>
        <v>1.1851851851851851</v>
      </c>
      <c r="AG135" s="209">
        <f t="shared" si="168"/>
        <v>1.1851851851851851</v>
      </c>
      <c r="AH135" s="209">
        <f t="shared" si="168"/>
        <v>1.1851851851851851</v>
      </c>
      <c r="AI135" s="209">
        <f t="shared" si="168"/>
        <v>1.1851851851851851</v>
      </c>
      <c r="AJ135" s="209">
        <f t="shared" si="168"/>
        <v>1.1851851851851851</v>
      </c>
      <c r="AK135" s="209">
        <f t="shared" si="168"/>
        <v>1.1851851851851851</v>
      </c>
      <c r="AL135" s="209">
        <f t="shared" si="168"/>
        <v>1.1851851851851851</v>
      </c>
      <c r="AM135" s="209">
        <f t="shared" si="168"/>
        <v>1.1851851851851851</v>
      </c>
      <c r="AN135" s="209">
        <f t="shared" si="168"/>
        <v>1.1851851851851851</v>
      </c>
      <c r="AO135" s="209">
        <f t="shared" si="168"/>
        <v>1.1851851851851851</v>
      </c>
      <c r="AP135" s="209">
        <f t="shared" si="168"/>
        <v>1.1851851851851851</v>
      </c>
      <c r="AQ135" s="215">
        <f t="shared" si="168"/>
        <v>1.1851851851851851</v>
      </c>
    </row>
    <row r="136" spans="2:43" x14ac:dyDescent="0.3">
      <c r="B136" s="128" t="s">
        <v>138</v>
      </c>
      <c r="C136" s="215" t="s">
        <v>10</v>
      </c>
      <c r="D136" s="245" t="s">
        <v>10</v>
      </c>
      <c r="E136" s="209" t="s">
        <v>10</v>
      </c>
      <c r="F136" s="209" t="s">
        <v>10</v>
      </c>
      <c r="G136" s="215" t="s">
        <v>10</v>
      </c>
      <c r="H136" s="245" t="s">
        <v>10</v>
      </c>
      <c r="I136" s="209" t="s">
        <v>10</v>
      </c>
      <c r="J136" s="209" t="s">
        <v>10</v>
      </c>
      <c r="K136" s="209" t="s">
        <v>10</v>
      </c>
      <c r="L136" s="209" t="s">
        <v>10</v>
      </c>
      <c r="M136" s="209" t="s">
        <v>10</v>
      </c>
      <c r="N136" s="209" t="s">
        <v>10</v>
      </c>
      <c r="O136" s="209" t="s">
        <v>10</v>
      </c>
      <c r="P136" s="209" t="s">
        <v>10</v>
      </c>
      <c r="Q136" s="209" t="s">
        <v>10</v>
      </c>
      <c r="R136" s="209" t="s">
        <v>10</v>
      </c>
      <c r="S136" s="215" t="s">
        <v>10</v>
      </c>
      <c r="T136" s="245" t="s">
        <v>10</v>
      </c>
      <c r="U136" s="209" t="s">
        <v>10</v>
      </c>
      <c r="V136" s="209" t="s">
        <v>10</v>
      </c>
      <c r="W136" s="209" t="s">
        <v>10</v>
      </c>
      <c r="X136" s="209" t="s">
        <v>10</v>
      </c>
      <c r="Y136" s="209" t="s">
        <v>10</v>
      </c>
      <c r="Z136" s="209" t="s">
        <v>10</v>
      </c>
      <c r="AA136" s="209" t="s">
        <v>10</v>
      </c>
      <c r="AB136" s="209" t="s">
        <v>10</v>
      </c>
      <c r="AC136" s="209" t="s">
        <v>10</v>
      </c>
      <c r="AD136" s="209" t="s">
        <v>10</v>
      </c>
      <c r="AE136" s="213" t="s">
        <v>10</v>
      </c>
      <c r="AF136" s="214" t="s">
        <v>10</v>
      </c>
      <c r="AG136" s="209" t="s">
        <v>10</v>
      </c>
      <c r="AH136" s="209" t="s">
        <v>10</v>
      </c>
      <c r="AI136" s="209" t="s">
        <v>10</v>
      </c>
      <c r="AJ136" s="209" t="s">
        <v>10</v>
      </c>
      <c r="AK136" s="209" t="s">
        <v>10</v>
      </c>
      <c r="AL136" s="209" t="s">
        <v>10</v>
      </c>
      <c r="AM136" s="209" t="s">
        <v>10</v>
      </c>
      <c r="AN136" s="209" t="s">
        <v>10</v>
      </c>
      <c r="AO136" s="209" t="s">
        <v>10</v>
      </c>
      <c r="AP136" s="209" t="s">
        <v>10</v>
      </c>
      <c r="AQ136" s="215" t="s">
        <v>10</v>
      </c>
    </row>
    <row r="137" spans="2:43" x14ac:dyDescent="0.3">
      <c r="B137" s="128" t="s">
        <v>94</v>
      </c>
      <c r="C137" s="215">
        <f t="shared" ref="C137:AQ137" si="169">ROUND(C72,2)/ROUND(C55,2)-1</f>
        <v>2.2850897376898298</v>
      </c>
      <c r="D137" s="245">
        <f t="shared" si="169"/>
        <v>1.9141791044776117</v>
      </c>
      <c r="E137" s="209">
        <f t="shared" si="169"/>
        <v>1.884047267355982</v>
      </c>
      <c r="F137" s="209">
        <f t="shared" si="169"/>
        <v>1.8838568298027756</v>
      </c>
      <c r="G137" s="215">
        <f t="shared" si="169"/>
        <v>1.8838568298027756</v>
      </c>
      <c r="H137" s="245">
        <f t="shared" si="169"/>
        <v>1.7292418772563174</v>
      </c>
      <c r="I137" s="209">
        <f t="shared" si="169"/>
        <v>1.8280000000000003</v>
      </c>
      <c r="J137" s="209">
        <f t="shared" si="169"/>
        <v>1.7292418772563174</v>
      </c>
      <c r="K137" s="209">
        <f t="shared" si="169"/>
        <v>1.7294776119402986</v>
      </c>
      <c r="L137" s="209">
        <f t="shared" si="169"/>
        <v>1.7292418772563174</v>
      </c>
      <c r="M137" s="209">
        <f t="shared" si="169"/>
        <v>1.7294776119402986</v>
      </c>
      <c r="N137" s="209">
        <f t="shared" si="169"/>
        <v>1.7292418772563174</v>
      </c>
      <c r="O137" s="209">
        <f t="shared" si="169"/>
        <v>1.7292418772563174</v>
      </c>
      <c r="P137" s="209">
        <f t="shared" si="169"/>
        <v>1.7294776119402986</v>
      </c>
      <c r="Q137" s="209">
        <f t="shared" si="169"/>
        <v>1.7292418772563174</v>
      </c>
      <c r="R137" s="209">
        <f t="shared" si="169"/>
        <v>1.7294776119402986</v>
      </c>
      <c r="S137" s="215">
        <f t="shared" si="169"/>
        <v>1.7292418772563174</v>
      </c>
      <c r="T137" s="245">
        <f t="shared" si="169"/>
        <v>1.1851851851851851</v>
      </c>
      <c r="U137" s="209">
        <f t="shared" si="169"/>
        <v>1.1851851851851851</v>
      </c>
      <c r="V137" s="209">
        <f t="shared" si="169"/>
        <v>1.1851851851851851</v>
      </c>
      <c r="W137" s="209">
        <f t="shared" si="169"/>
        <v>1.1851851851851851</v>
      </c>
      <c r="X137" s="209">
        <f t="shared" si="169"/>
        <v>1.1851851851851851</v>
      </c>
      <c r="Y137" s="209">
        <f t="shared" si="169"/>
        <v>1.1851851851851851</v>
      </c>
      <c r="Z137" s="209">
        <f t="shared" si="169"/>
        <v>1.1851851851851851</v>
      </c>
      <c r="AA137" s="209">
        <f t="shared" si="169"/>
        <v>1.1851851851851851</v>
      </c>
      <c r="AB137" s="209">
        <f t="shared" si="169"/>
        <v>1.1851851851851851</v>
      </c>
      <c r="AC137" s="209">
        <f t="shared" si="169"/>
        <v>1.1851851851851851</v>
      </c>
      <c r="AD137" s="209">
        <f t="shared" si="169"/>
        <v>1.1851851851851851</v>
      </c>
      <c r="AE137" s="213">
        <f t="shared" si="169"/>
        <v>1.1851851851851851</v>
      </c>
      <c r="AF137" s="214">
        <f t="shared" si="169"/>
        <v>1.1851851851851851</v>
      </c>
      <c r="AG137" s="209">
        <f t="shared" si="169"/>
        <v>1.1851851851851851</v>
      </c>
      <c r="AH137" s="209">
        <f t="shared" si="169"/>
        <v>1.1851851851851851</v>
      </c>
      <c r="AI137" s="209">
        <f t="shared" si="169"/>
        <v>1.1851851851851851</v>
      </c>
      <c r="AJ137" s="209">
        <f t="shared" si="169"/>
        <v>1.1851851851851851</v>
      </c>
      <c r="AK137" s="209">
        <f t="shared" si="169"/>
        <v>1.1851851851851851</v>
      </c>
      <c r="AL137" s="209">
        <f t="shared" si="169"/>
        <v>1.1851851851851851</v>
      </c>
      <c r="AM137" s="209">
        <f t="shared" si="169"/>
        <v>1.1851851851851851</v>
      </c>
      <c r="AN137" s="209">
        <f t="shared" si="169"/>
        <v>1.1851851851851851</v>
      </c>
      <c r="AO137" s="209">
        <f t="shared" si="169"/>
        <v>1.1851851851851851</v>
      </c>
      <c r="AP137" s="209">
        <f t="shared" si="169"/>
        <v>1.1851851851851851</v>
      </c>
      <c r="AQ137" s="215">
        <f t="shared" si="169"/>
        <v>1.1851851851851851</v>
      </c>
    </row>
    <row r="138" spans="2:43" x14ac:dyDescent="0.3">
      <c r="B138" s="128" t="s">
        <v>95</v>
      </c>
      <c r="C138" s="215">
        <f t="shared" ref="C138:AQ138" si="170">ROUND(C73,2)/ROUND(C56,2)-1</f>
        <v>2.7332635983263596</v>
      </c>
      <c r="D138" s="245">
        <f t="shared" si="170"/>
        <v>2.3084745762711862</v>
      </c>
      <c r="E138" s="209">
        <f t="shared" si="170"/>
        <v>2.2751677852348995</v>
      </c>
      <c r="F138" s="209">
        <f t="shared" si="170"/>
        <v>2.2790697674418605</v>
      </c>
      <c r="G138" s="215">
        <f t="shared" si="170"/>
        <v>2.2790697674418605</v>
      </c>
      <c r="H138" s="245">
        <f t="shared" si="170"/>
        <v>2.098360655737705</v>
      </c>
      <c r="I138" s="209">
        <f t="shared" si="170"/>
        <v>2.2090909090909085</v>
      </c>
      <c r="J138" s="209">
        <f t="shared" si="170"/>
        <v>2.098360655737705</v>
      </c>
      <c r="K138" s="209">
        <f t="shared" si="170"/>
        <v>2.1016949152542375</v>
      </c>
      <c r="L138" s="209">
        <f t="shared" si="170"/>
        <v>2.098360655737705</v>
      </c>
      <c r="M138" s="209">
        <f t="shared" si="170"/>
        <v>2.1016949152542375</v>
      </c>
      <c r="N138" s="209">
        <f t="shared" si="170"/>
        <v>2.098360655737705</v>
      </c>
      <c r="O138" s="209">
        <f t="shared" si="170"/>
        <v>2.098360655737705</v>
      </c>
      <c r="P138" s="209">
        <f t="shared" si="170"/>
        <v>2.1016949152542375</v>
      </c>
      <c r="Q138" s="209">
        <f t="shared" si="170"/>
        <v>2.098360655737705</v>
      </c>
      <c r="R138" s="209">
        <f t="shared" si="170"/>
        <v>2.1016949152542375</v>
      </c>
      <c r="S138" s="215">
        <f t="shared" si="170"/>
        <v>2.098360655737705</v>
      </c>
      <c r="T138" s="245">
        <f t="shared" si="170"/>
        <v>1.5</v>
      </c>
      <c r="U138" s="209">
        <f t="shared" si="170"/>
        <v>1.5</v>
      </c>
      <c r="V138" s="209">
        <f t="shared" si="170"/>
        <v>1.5</v>
      </c>
      <c r="W138" s="209">
        <f t="shared" si="170"/>
        <v>1.5</v>
      </c>
      <c r="X138" s="209">
        <f t="shared" si="170"/>
        <v>1.5</v>
      </c>
      <c r="Y138" s="209">
        <f t="shared" si="170"/>
        <v>1.5</v>
      </c>
      <c r="Z138" s="209">
        <f t="shared" si="170"/>
        <v>1.5</v>
      </c>
      <c r="AA138" s="209">
        <f t="shared" si="170"/>
        <v>1.5</v>
      </c>
      <c r="AB138" s="209">
        <f t="shared" si="170"/>
        <v>1.5</v>
      </c>
      <c r="AC138" s="209">
        <f t="shared" si="170"/>
        <v>1.5</v>
      </c>
      <c r="AD138" s="209">
        <f t="shared" si="170"/>
        <v>1.5</v>
      </c>
      <c r="AE138" s="213">
        <f t="shared" si="170"/>
        <v>1.5</v>
      </c>
      <c r="AF138" s="214">
        <f t="shared" si="170"/>
        <v>1.5</v>
      </c>
      <c r="AG138" s="209">
        <f t="shared" si="170"/>
        <v>1.5</v>
      </c>
      <c r="AH138" s="209">
        <f t="shared" si="170"/>
        <v>1.5</v>
      </c>
      <c r="AI138" s="209">
        <f t="shared" si="170"/>
        <v>1.5</v>
      </c>
      <c r="AJ138" s="209">
        <f t="shared" si="170"/>
        <v>1.5</v>
      </c>
      <c r="AK138" s="209">
        <f t="shared" si="170"/>
        <v>1.5</v>
      </c>
      <c r="AL138" s="209">
        <f t="shared" si="170"/>
        <v>1.5</v>
      </c>
      <c r="AM138" s="209">
        <f t="shared" si="170"/>
        <v>1.5</v>
      </c>
      <c r="AN138" s="209">
        <f t="shared" si="170"/>
        <v>1.5</v>
      </c>
      <c r="AO138" s="209">
        <f t="shared" si="170"/>
        <v>1.5</v>
      </c>
      <c r="AP138" s="209">
        <f t="shared" si="170"/>
        <v>1.5</v>
      </c>
      <c r="AQ138" s="215">
        <f t="shared" si="170"/>
        <v>1.5</v>
      </c>
    </row>
    <row r="139" spans="2:43" x14ac:dyDescent="0.3">
      <c r="B139" s="318" t="s">
        <v>167</v>
      </c>
      <c r="C139" s="215" t="s">
        <v>10</v>
      </c>
      <c r="D139" s="245" t="s">
        <v>10</v>
      </c>
      <c r="E139" s="209" t="s">
        <v>10</v>
      </c>
      <c r="F139" s="209" t="s">
        <v>10</v>
      </c>
      <c r="G139" s="215" t="s">
        <v>10</v>
      </c>
      <c r="H139" s="245" t="s">
        <v>10</v>
      </c>
      <c r="I139" s="209" t="s">
        <v>10</v>
      </c>
      <c r="J139" s="209" t="s">
        <v>10</v>
      </c>
      <c r="K139" s="209" t="s">
        <v>10</v>
      </c>
      <c r="L139" s="209" t="s">
        <v>10</v>
      </c>
      <c r="M139" s="209" t="s">
        <v>10</v>
      </c>
      <c r="N139" s="209" t="s">
        <v>10</v>
      </c>
      <c r="O139" s="209" t="s">
        <v>10</v>
      </c>
      <c r="P139" s="209" t="s">
        <v>10</v>
      </c>
      <c r="Q139" s="209" t="s">
        <v>10</v>
      </c>
      <c r="R139" s="209" t="s">
        <v>10</v>
      </c>
      <c r="S139" s="215" t="s">
        <v>10</v>
      </c>
      <c r="T139" s="245" t="s">
        <v>10</v>
      </c>
      <c r="U139" s="209" t="s">
        <v>10</v>
      </c>
      <c r="V139" s="209" t="s">
        <v>10</v>
      </c>
      <c r="W139" s="209" t="s">
        <v>10</v>
      </c>
      <c r="X139" s="209" t="s">
        <v>10</v>
      </c>
      <c r="Y139" s="209" t="s">
        <v>10</v>
      </c>
      <c r="Z139" s="209" t="s">
        <v>10</v>
      </c>
      <c r="AA139" s="209" t="s">
        <v>10</v>
      </c>
      <c r="AB139" s="209" t="s">
        <v>10</v>
      </c>
      <c r="AC139" s="209" t="s">
        <v>10</v>
      </c>
      <c r="AD139" s="209" t="s">
        <v>10</v>
      </c>
      <c r="AE139" s="213" t="s">
        <v>10</v>
      </c>
      <c r="AF139" s="214" t="s">
        <v>10</v>
      </c>
      <c r="AG139" s="209" t="s">
        <v>10</v>
      </c>
      <c r="AH139" s="209" t="s">
        <v>10</v>
      </c>
      <c r="AI139" s="209" t="s">
        <v>10</v>
      </c>
      <c r="AJ139" s="209" t="s">
        <v>10</v>
      </c>
      <c r="AK139" s="209" t="s">
        <v>10</v>
      </c>
      <c r="AL139" s="209" t="s">
        <v>10</v>
      </c>
      <c r="AM139" s="209" t="s">
        <v>10</v>
      </c>
      <c r="AN139" s="209" t="s">
        <v>10</v>
      </c>
      <c r="AO139" s="209" t="s">
        <v>10</v>
      </c>
      <c r="AP139" s="209" t="s">
        <v>10</v>
      </c>
      <c r="AQ139" s="215" t="s">
        <v>10</v>
      </c>
    </row>
    <row r="140" spans="2:43" x14ac:dyDescent="0.3">
      <c r="B140" s="128" t="s">
        <v>96</v>
      </c>
      <c r="C140" s="215">
        <f t="shared" ref="C140:AQ140" si="171">ROUND(C75,2)/ROUND(C58,2)-1</f>
        <v>-0.4198757763975155</v>
      </c>
      <c r="D140" s="245">
        <f t="shared" si="171"/>
        <v>-0.48515061518879932</v>
      </c>
      <c r="E140" s="209">
        <f t="shared" si="171"/>
        <v>-0.49087476400251728</v>
      </c>
      <c r="F140" s="209">
        <f t="shared" si="171"/>
        <v>-0.49097323096078016</v>
      </c>
      <c r="G140" s="215">
        <f t="shared" si="171"/>
        <v>-0.49097323096078016</v>
      </c>
      <c r="H140" s="245">
        <f t="shared" si="171"/>
        <v>-0.48378229796591532</v>
      </c>
      <c r="I140" s="209">
        <f t="shared" si="171"/>
        <v>-0.46500304321363362</v>
      </c>
      <c r="J140" s="209">
        <f t="shared" si="171"/>
        <v>-0.48378229796591532</v>
      </c>
      <c r="K140" s="209">
        <f t="shared" si="171"/>
        <v>-0.48352272727272727</v>
      </c>
      <c r="L140" s="209">
        <f t="shared" si="171"/>
        <v>-0.48378229796591532</v>
      </c>
      <c r="M140" s="209">
        <f t="shared" si="171"/>
        <v>-0.48352272727272727</v>
      </c>
      <c r="N140" s="209">
        <f t="shared" si="171"/>
        <v>-0.48378229796591532</v>
      </c>
      <c r="O140" s="209">
        <f t="shared" si="171"/>
        <v>-0.48378229796591532</v>
      </c>
      <c r="P140" s="209">
        <f t="shared" si="171"/>
        <v>-0.48352272727272727</v>
      </c>
      <c r="Q140" s="209">
        <f t="shared" si="171"/>
        <v>-0.48378229796591532</v>
      </c>
      <c r="R140" s="209">
        <f t="shared" si="171"/>
        <v>-0.48352272727272727</v>
      </c>
      <c r="S140" s="215">
        <f t="shared" si="171"/>
        <v>-0.48378229796591532</v>
      </c>
      <c r="T140" s="245">
        <f t="shared" si="171"/>
        <v>-0.4285714285714286</v>
      </c>
      <c r="U140" s="209">
        <f t="shared" si="171"/>
        <v>-0.4285714285714286</v>
      </c>
      <c r="V140" s="209">
        <f t="shared" si="171"/>
        <v>-0.4285714285714286</v>
      </c>
      <c r="W140" s="209">
        <f t="shared" si="171"/>
        <v>-0.4285714285714286</v>
      </c>
      <c r="X140" s="209">
        <f t="shared" si="171"/>
        <v>-0.4285714285714286</v>
      </c>
      <c r="Y140" s="209">
        <f t="shared" si="171"/>
        <v>-0.4285714285714286</v>
      </c>
      <c r="Z140" s="209">
        <f t="shared" si="171"/>
        <v>-0.4285714285714286</v>
      </c>
      <c r="AA140" s="209">
        <f t="shared" si="171"/>
        <v>-0.4285714285714286</v>
      </c>
      <c r="AB140" s="209">
        <f t="shared" si="171"/>
        <v>-0.4285714285714286</v>
      </c>
      <c r="AC140" s="209">
        <f t="shared" si="171"/>
        <v>-0.4285714285714286</v>
      </c>
      <c r="AD140" s="209">
        <f t="shared" si="171"/>
        <v>-0.4285714285714286</v>
      </c>
      <c r="AE140" s="213">
        <f t="shared" si="171"/>
        <v>-0.4285714285714286</v>
      </c>
      <c r="AF140" s="214">
        <f t="shared" si="171"/>
        <v>-0.4285714285714286</v>
      </c>
      <c r="AG140" s="209">
        <f t="shared" si="171"/>
        <v>-0.4285714285714286</v>
      </c>
      <c r="AH140" s="209">
        <f t="shared" si="171"/>
        <v>-0.4285714285714286</v>
      </c>
      <c r="AI140" s="209">
        <f t="shared" si="171"/>
        <v>-0.4285714285714286</v>
      </c>
      <c r="AJ140" s="209">
        <f t="shared" si="171"/>
        <v>-0.4285714285714286</v>
      </c>
      <c r="AK140" s="209">
        <f t="shared" si="171"/>
        <v>-0.4285714285714286</v>
      </c>
      <c r="AL140" s="209">
        <f t="shared" si="171"/>
        <v>-0.4285714285714286</v>
      </c>
      <c r="AM140" s="209">
        <f t="shared" si="171"/>
        <v>-0.4285714285714286</v>
      </c>
      <c r="AN140" s="209">
        <f t="shared" si="171"/>
        <v>-0.4285714285714286</v>
      </c>
      <c r="AO140" s="209">
        <f t="shared" si="171"/>
        <v>-0.4285714285714286</v>
      </c>
      <c r="AP140" s="209">
        <f t="shared" si="171"/>
        <v>-0.4285714285714286</v>
      </c>
      <c r="AQ140" s="215">
        <f t="shared" si="171"/>
        <v>-0.4285714285714286</v>
      </c>
    </row>
    <row r="141" spans="2:43" x14ac:dyDescent="0.3">
      <c r="B141" s="128" t="s">
        <v>97</v>
      </c>
      <c r="C141" s="215">
        <f>ROUND(C76,2)/ROUND(C59,2)-1</f>
        <v>0.24211853720050436</v>
      </c>
      <c r="D141" s="245">
        <f t="shared" ref="D141:AQ141" si="172">ROUND(D76,2)/ROUND(D59,2)-1</f>
        <v>-0.35380019913707272</v>
      </c>
      <c r="E141" s="209">
        <f t="shared" si="172"/>
        <v>-0.27207207207207207</v>
      </c>
      <c r="F141" s="209">
        <f t="shared" si="172"/>
        <v>-0.15352260778128279</v>
      </c>
      <c r="G141" s="215">
        <f t="shared" si="172"/>
        <v>-0.28428796636889131</v>
      </c>
      <c r="H141" s="245">
        <f t="shared" si="172"/>
        <v>-0.26486486486486482</v>
      </c>
      <c r="I141" s="209">
        <f t="shared" si="172"/>
        <v>-0.38828828828828832</v>
      </c>
      <c r="J141" s="209">
        <f t="shared" si="172"/>
        <v>7.3139974779319106E-2</v>
      </c>
      <c r="K141" s="209">
        <f t="shared" si="172"/>
        <v>-0.43533123028391163</v>
      </c>
      <c r="L141" s="209">
        <f t="shared" si="172"/>
        <v>-0.28398058252427183</v>
      </c>
      <c r="M141" s="209">
        <f t="shared" si="172"/>
        <v>-0.2354368932038835</v>
      </c>
      <c r="N141" s="209">
        <f t="shared" si="172"/>
        <v>-0.47815533980582525</v>
      </c>
      <c r="O141" s="209">
        <f t="shared" si="172"/>
        <v>-0.18689320388349517</v>
      </c>
      <c r="P141" s="209">
        <f t="shared" si="172"/>
        <v>-1.2135922330097082E-2</v>
      </c>
      <c r="Q141" s="209">
        <f t="shared" si="172"/>
        <v>-0.16246056782334384</v>
      </c>
      <c r="R141" s="209">
        <f t="shared" si="172"/>
        <v>-0.12933753943217674</v>
      </c>
      <c r="S141" s="215">
        <f t="shared" si="172"/>
        <v>-0.49909909909909911</v>
      </c>
      <c r="T141" s="245">
        <f t="shared" si="172"/>
        <v>-5.3571428571428603E-2</v>
      </c>
      <c r="U141" s="209">
        <f t="shared" si="172"/>
        <v>-0.16071428571428581</v>
      </c>
      <c r="V141" s="209">
        <f t="shared" si="172"/>
        <v>0.375</v>
      </c>
      <c r="W141" s="209">
        <f t="shared" si="172"/>
        <v>-0.25</v>
      </c>
      <c r="X141" s="209">
        <f t="shared" si="172"/>
        <v>-9.5238095238095233E-2</v>
      </c>
      <c r="Y141" s="209">
        <f t="shared" si="172"/>
        <v>0</v>
      </c>
      <c r="Z141" s="209">
        <f t="shared" si="172"/>
        <v>-0.33333333333333326</v>
      </c>
      <c r="AA141" s="209">
        <f t="shared" si="172"/>
        <v>4.7619047619047672E-2</v>
      </c>
      <c r="AB141" s="209">
        <f t="shared" si="172"/>
        <v>0.28571428571428581</v>
      </c>
      <c r="AC141" s="209">
        <f t="shared" si="172"/>
        <v>6.25E-2</v>
      </c>
      <c r="AD141" s="209">
        <f t="shared" si="172"/>
        <v>0.15625</v>
      </c>
      <c r="AE141" s="213">
        <f t="shared" si="172"/>
        <v>-0.35714285714285721</v>
      </c>
      <c r="AF141" s="214">
        <f t="shared" si="172"/>
        <v>-5.3571428571428603E-2</v>
      </c>
      <c r="AG141" s="209">
        <f t="shared" si="172"/>
        <v>-0.16071428571428581</v>
      </c>
      <c r="AH141" s="209">
        <f t="shared" si="172"/>
        <v>0.375</v>
      </c>
      <c r="AI141" s="209">
        <f t="shared" si="172"/>
        <v>-0.25</v>
      </c>
      <c r="AJ141" s="209">
        <f t="shared" si="172"/>
        <v>-9.5238095238095233E-2</v>
      </c>
      <c r="AK141" s="209">
        <f t="shared" si="172"/>
        <v>0</v>
      </c>
      <c r="AL141" s="209">
        <f t="shared" si="172"/>
        <v>-0.33333333333333326</v>
      </c>
      <c r="AM141" s="209">
        <f t="shared" si="172"/>
        <v>4.7619047619047672E-2</v>
      </c>
      <c r="AN141" s="209">
        <f t="shared" si="172"/>
        <v>0.28571428571428581</v>
      </c>
      <c r="AO141" s="209">
        <f t="shared" si="172"/>
        <v>6.25E-2</v>
      </c>
      <c r="AP141" s="209">
        <f t="shared" si="172"/>
        <v>0.15625</v>
      </c>
      <c r="AQ141" s="215">
        <f t="shared" si="172"/>
        <v>-0.35714285714285721</v>
      </c>
    </row>
    <row r="142" spans="2:43" x14ac:dyDescent="0.3">
      <c r="B142" s="318" t="s">
        <v>168</v>
      </c>
      <c r="C142" s="215" t="s">
        <v>10</v>
      </c>
      <c r="D142" s="245" t="s">
        <v>10</v>
      </c>
      <c r="E142" s="209" t="s">
        <v>10</v>
      </c>
      <c r="F142" s="209" t="s">
        <v>10</v>
      </c>
      <c r="G142" s="215" t="s">
        <v>10</v>
      </c>
      <c r="H142" s="245" t="s">
        <v>10</v>
      </c>
      <c r="I142" s="209" t="s">
        <v>10</v>
      </c>
      <c r="J142" s="209" t="s">
        <v>10</v>
      </c>
      <c r="K142" s="209" t="s">
        <v>10</v>
      </c>
      <c r="L142" s="209" t="s">
        <v>10</v>
      </c>
      <c r="M142" s="209" t="s">
        <v>10</v>
      </c>
      <c r="N142" s="209" t="s">
        <v>10</v>
      </c>
      <c r="O142" s="209" t="s">
        <v>10</v>
      </c>
      <c r="P142" s="209" t="s">
        <v>10</v>
      </c>
      <c r="Q142" s="209" t="s">
        <v>10</v>
      </c>
      <c r="R142" s="209" t="s">
        <v>10</v>
      </c>
      <c r="S142" s="215" t="s">
        <v>10</v>
      </c>
      <c r="T142" s="245" t="s">
        <v>10</v>
      </c>
      <c r="U142" s="209" t="s">
        <v>10</v>
      </c>
      <c r="V142" s="209" t="s">
        <v>10</v>
      </c>
      <c r="W142" s="209" t="s">
        <v>10</v>
      </c>
      <c r="X142" s="209" t="s">
        <v>10</v>
      </c>
      <c r="Y142" s="209" t="s">
        <v>10</v>
      </c>
      <c r="Z142" s="209" t="s">
        <v>10</v>
      </c>
      <c r="AA142" s="209" t="s">
        <v>10</v>
      </c>
      <c r="AB142" s="209" t="s">
        <v>10</v>
      </c>
      <c r="AC142" s="209" t="s">
        <v>10</v>
      </c>
      <c r="AD142" s="209" t="s">
        <v>10</v>
      </c>
      <c r="AE142" s="213" t="s">
        <v>10</v>
      </c>
      <c r="AF142" s="214" t="s">
        <v>10</v>
      </c>
      <c r="AG142" s="209" t="s">
        <v>10</v>
      </c>
      <c r="AH142" s="209" t="s">
        <v>10</v>
      </c>
      <c r="AI142" s="209" t="s">
        <v>10</v>
      </c>
      <c r="AJ142" s="209" t="s">
        <v>10</v>
      </c>
      <c r="AK142" s="209" t="s">
        <v>10</v>
      </c>
      <c r="AL142" s="209" t="s">
        <v>10</v>
      </c>
      <c r="AM142" s="209" t="s">
        <v>10</v>
      </c>
      <c r="AN142" s="209" t="s">
        <v>10</v>
      </c>
      <c r="AO142" s="209" t="s">
        <v>10</v>
      </c>
      <c r="AP142" s="209" t="s">
        <v>10</v>
      </c>
      <c r="AQ142" s="215" t="s">
        <v>10</v>
      </c>
    </row>
    <row r="143" spans="2:43" ht="15" thickBot="1" x14ac:dyDescent="0.35">
      <c r="B143" s="210" t="s">
        <v>98</v>
      </c>
      <c r="C143" s="216">
        <f>ROUND(C78,2)/ROUND(C61,2)-1</f>
        <v>-0.43661417322834639</v>
      </c>
      <c r="D143" s="246">
        <f t="shared" ref="D143:AQ143" si="173">ROUND(D78,2)/ROUND(D61,2)-1</f>
        <v>-0.69954413593037712</v>
      </c>
      <c r="E143" s="211">
        <f t="shared" si="173"/>
        <v>-0.63976377952755903</v>
      </c>
      <c r="F143" s="211">
        <f t="shared" si="173"/>
        <v>-0.7463910761154855</v>
      </c>
      <c r="G143" s="216">
        <f t="shared" si="173"/>
        <v>-0.64009186351706038</v>
      </c>
      <c r="H143" s="246">
        <f t="shared" si="173"/>
        <v>-0.60123734533183359</v>
      </c>
      <c r="I143" s="211">
        <f t="shared" si="173"/>
        <v>-0.72075365579302586</v>
      </c>
      <c r="J143" s="211">
        <f t="shared" si="173"/>
        <v>-0.57913385826771657</v>
      </c>
      <c r="K143" s="211">
        <f t="shared" si="173"/>
        <v>-0.69881889763779526</v>
      </c>
      <c r="L143" s="211">
        <f t="shared" si="173"/>
        <v>-0.61468584405753224</v>
      </c>
      <c r="M143" s="211">
        <f t="shared" si="173"/>
        <v>-0.68054504163512497</v>
      </c>
      <c r="N143" s="211">
        <f t="shared" si="173"/>
        <v>-0.85692657077971235</v>
      </c>
      <c r="O143" s="211">
        <f t="shared" si="173"/>
        <v>-0.85162755488266462</v>
      </c>
      <c r="P143" s="211">
        <f t="shared" si="173"/>
        <v>-0.58970476911430736</v>
      </c>
      <c r="Q143" s="211">
        <f t="shared" si="173"/>
        <v>-0.61368110236220474</v>
      </c>
      <c r="R143" s="211">
        <f t="shared" si="173"/>
        <v>-0.58415354330708658</v>
      </c>
      <c r="S143" s="216">
        <f t="shared" si="173"/>
        <v>-0.71991001124859388</v>
      </c>
      <c r="T143" s="246">
        <f t="shared" si="173"/>
        <v>-0.4887640449438202</v>
      </c>
      <c r="U143" s="211">
        <f t="shared" si="173"/>
        <v>-0.61235955056179781</v>
      </c>
      <c r="V143" s="211">
        <f t="shared" si="173"/>
        <v>-0.45669291338582685</v>
      </c>
      <c r="W143" s="211">
        <f t="shared" si="173"/>
        <v>-0.59803921568627461</v>
      </c>
      <c r="X143" s="211">
        <f t="shared" si="173"/>
        <v>-0.5</v>
      </c>
      <c r="Y143" s="211">
        <f t="shared" si="173"/>
        <v>-0.57575757575757569</v>
      </c>
      <c r="Z143" s="211">
        <f t="shared" si="173"/>
        <v>-0.81818181818181823</v>
      </c>
      <c r="AA143" s="211">
        <f t="shared" si="173"/>
        <v>-0.80303030303030298</v>
      </c>
      <c r="AB143" s="211">
        <f t="shared" si="173"/>
        <v>-0.45454545454545459</v>
      </c>
      <c r="AC143" s="211">
        <f t="shared" si="173"/>
        <v>-0.5</v>
      </c>
      <c r="AD143" s="211">
        <f t="shared" si="173"/>
        <v>-0.4509803921568627</v>
      </c>
      <c r="AE143" s="217">
        <f t="shared" si="173"/>
        <v>-0.6404494382022472</v>
      </c>
      <c r="AF143" s="219">
        <f t="shared" si="173"/>
        <v>-0.4887640449438202</v>
      </c>
      <c r="AG143" s="211">
        <f t="shared" si="173"/>
        <v>-0.61235955056179781</v>
      </c>
      <c r="AH143" s="211">
        <f t="shared" si="173"/>
        <v>-0.45669291338582685</v>
      </c>
      <c r="AI143" s="211">
        <f t="shared" si="173"/>
        <v>-0.59803921568627461</v>
      </c>
      <c r="AJ143" s="211">
        <f t="shared" si="173"/>
        <v>-0.5</v>
      </c>
      <c r="AK143" s="211">
        <f t="shared" si="173"/>
        <v>-0.57575757575757569</v>
      </c>
      <c r="AL143" s="211">
        <f t="shared" si="173"/>
        <v>-0.81818181818181823</v>
      </c>
      <c r="AM143" s="211">
        <f t="shared" si="173"/>
        <v>-0.80303030303030298</v>
      </c>
      <c r="AN143" s="211">
        <f t="shared" si="173"/>
        <v>-0.45454545454545459</v>
      </c>
      <c r="AO143" s="211">
        <f t="shared" si="173"/>
        <v>-0.5</v>
      </c>
      <c r="AP143" s="211">
        <f t="shared" si="173"/>
        <v>-0.4509803921568627</v>
      </c>
      <c r="AQ143" s="216">
        <f t="shared" si="173"/>
        <v>-0.6404494382022472</v>
      </c>
    </row>
    <row r="144" spans="2:43" ht="15.6" x14ac:dyDescent="0.3">
      <c r="B144" s="403" t="s">
        <v>175</v>
      </c>
      <c r="C144" s="404"/>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4"/>
      <c r="AD144" s="404"/>
      <c r="AE144" s="404"/>
      <c r="AF144" s="404"/>
      <c r="AG144" s="404"/>
      <c r="AH144" s="404"/>
      <c r="AI144" s="404"/>
      <c r="AJ144" s="404"/>
      <c r="AK144" s="404"/>
      <c r="AL144" s="404"/>
      <c r="AM144" s="404"/>
      <c r="AN144" s="404"/>
      <c r="AO144" s="404"/>
      <c r="AP144" s="404"/>
      <c r="AQ144" s="404"/>
    </row>
    <row r="145" spans="2:43" x14ac:dyDescent="0.3">
      <c r="B145" s="132"/>
      <c r="C145" s="396" t="s">
        <v>84</v>
      </c>
      <c r="D145" s="399" t="s">
        <v>82</v>
      </c>
      <c r="E145" s="399"/>
      <c r="F145" s="399"/>
      <c r="G145" s="400"/>
      <c r="H145" s="399" t="s">
        <v>83</v>
      </c>
      <c r="I145" s="399"/>
      <c r="J145" s="399"/>
      <c r="K145" s="399"/>
      <c r="L145" s="399"/>
      <c r="M145" s="399"/>
      <c r="N145" s="399"/>
      <c r="O145" s="399"/>
      <c r="P145" s="399"/>
      <c r="Q145" s="399"/>
      <c r="R145" s="399"/>
      <c r="S145" s="400"/>
      <c r="T145" s="399" t="s">
        <v>91</v>
      </c>
      <c r="U145" s="399"/>
      <c r="V145" s="399"/>
      <c r="W145" s="399"/>
      <c r="X145" s="399"/>
      <c r="Y145" s="399"/>
      <c r="Z145" s="399"/>
      <c r="AA145" s="399"/>
      <c r="AB145" s="399"/>
      <c r="AC145" s="399"/>
      <c r="AD145" s="399"/>
      <c r="AE145" s="401"/>
      <c r="AF145" s="402" t="s">
        <v>92</v>
      </c>
      <c r="AG145" s="399"/>
      <c r="AH145" s="399"/>
      <c r="AI145" s="399"/>
      <c r="AJ145" s="399"/>
      <c r="AK145" s="399"/>
      <c r="AL145" s="399"/>
      <c r="AM145" s="399"/>
      <c r="AN145" s="399"/>
      <c r="AO145" s="399"/>
      <c r="AP145" s="399"/>
      <c r="AQ145" s="401"/>
    </row>
    <row r="146" spans="2:43" x14ac:dyDescent="0.3">
      <c r="B146" s="125"/>
      <c r="C146" s="397"/>
      <c r="D146" s="317" t="s">
        <v>39</v>
      </c>
      <c r="E146" s="349" t="s">
        <v>40</v>
      </c>
      <c r="F146" s="349" t="s">
        <v>41</v>
      </c>
      <c r="G146" s="240" t="s">
        <v>42</v>
      </c>
      <c r="H146" s="317" t="s">
        <v>24</v>
      </c>
      <c r="I146" s="349" t="s">
        <v>25</v>
      </c>
      <c r="J146" s="349" t="s">
        <v>26</v>
      </c>
      <c r="K146" s="349" t="s">
        <v>27</v>
      </c>
      <c r="L146" s="349" t="s">
        <v>17</v>
      </c>
      <c r="M146" s="349" t="s">
        <v>28</v>
      </c>
      <c r="N146" s="349" t="s">
        <v>29</v>
      </c>
      <c r="O146" s="349" t="s">
        <v>30</v>
      </c>
      <c r="P146" s="349" t="s">
        <v>31</v>
      </c>
      <c r="Q146" s="349" t="s">
        <v>32</v>
      </c>
      <c r="R146" s="349" t="s">
        <v>33</v>
      </c>
      <c r="S146" s="240" t="s">
        <v>34</v>
      </c>
      <c r="T146" s="317" t="s">
        <v>24</v>
      </c>
      <c r="U146" s="349" t="s">
        <v>25</v>
      </c>
      <c r="V146" s="349" t="s">
        <v>26</v>
      </c>
      <c r="W146" s="349" t="s">
        <v>27</v>
      </c>
      <c r="X146" s="349" t="s">
        <v>17</v>
      </c>
      <c r="Y146" s="349" t="s">
        <v>28</v>
      </c>
      <c r="Z146" s="349" t="s">
        <v>29</v>
      </c>
      <c r="AA146" s="349" t="s">
        <v>30</v>
      </c>
      <c r="AB146" s="349" t="s">
        <v>31</v>
      </c>
      <c r="AC146" s="349" t="s">
        <v>32</v>
      </c>
      <c r="AD146" s="349" t="s">
        <v>33</v>
      </c>
      <c r="AE146" s="316" t="s">
        <v>34</v>
      </c>
      <c r="AF146" s="218" t="s">
        <v>24</v>
      </c>
      <c r="AG146" s="349" t="s">
        <v>25</v>
      </c>
      <c r="AH146" s="349" t="s">
        <v>26</v>
      </c>
      <c r="AI146" s="349" t="s">
        <v>27</v>
      </c>
      <c r="AJ146" s="349" t="s">
        <v>17</v>
      </c>
      <c r="AK146" s="349" t="s">
        <v>28</v>
      </c>
      <c r="AL146" s="349" t="s">
        <v>29</v>
      </c>
      <c r="AM146" s="349" t="s">
        <v>30</v>
      </c>
      <c r="AN146" s="349" t="s">
        <v>31</v>
      </c>
      <c r="AO146" s="349" t="s">
        <v>32</v>
      </c>
      <c r="AP146" s="349" t="s">
        <v>33</v>
      </c>
      <c r="AQ146" s="126" t="s">
        <v>34</v>
      </c>
    </row>
    <row r="147" spans="2:43" x14ac:dyDescent="0.3">
      <c r="B147" s="128" t="s">
        <v>93</v>
      </c>
      <c r="C147" s="215">
        <f>ROUND(C87,2)/ROUND(C70,2)-1</f>
        <v>0</v>
      </c>
      <c r="D147" s="213">
        <f t="shared" ref="D147:AQ155" si="174">ROUND(D87,2)/ROUND(D70,2)-1</f>
        <v>-8.4507042253521014E-3</v>
      </c>
      <c r="E147" s="350">
        <f t="shared" si="174"/>
        <v>2.5608194622279701E-3</v>
      </c>
      <c r="F147" s="350">
        <f t="shared" si="174"/>
        <v>2.5329280648429542E-3</v>
      </c>
      <c r="G147" s="348">
        <f t="shared" si="174"/>
        <v>2.5329280648429542E-3</v>
      </c>
      <c r="H147" s="213">
        <f t="shared" si="174"/>
        <v>2.6455026455027841E-3</v>
      </c>
      <c r="I147" s="350">
        <f t="shared" si="174"/>
        <v>-3.1824611032531869E-2</v>
      </c>
      <c r="J147" s="350">
        <f t="shared" si="174"/>
        <v>2.6455026455027841E-3</v>
      </c>
      <c r="K147" s="350">
        <f t="shared" si="174"/>
        <v>2.7341079972658111E-3</v>
      </c>
      <c r="L147" s="350">
        <f t="shared" si="174"/>
        <v>2.6455026455027841E-3</v>
      </c>
      <c r="M147" s="350">
        <f t="shared" si="174"/>
        <v>2.7341079972658111E-3</v>
      </c>
      <c r="N147" s="350">
        <f t="shared" si="174"/>
        <v>2.6455026455027841E-3</v>
      </c>
      <c r="O147" s="350">
        <f t="shared" si="174"/>
        <v>2.6455026455027841E-3</v>
      </c>
      <c r="P147" s="350">
        <f t="shared" si="174"/>
        <v>2.7341079972658111E-3</v>
      </c>
      <c r="Q147" s="350">
        <f t="shared" si="174"/>
        <v>2.6455026455027841E-3</v>
      </c>
      <c r="R147" s="350">
        <f t="shared" si="174"/>
        <v>2.7341079972658111E-3</v>
      </c>
      <c r="S147" s="348">
        <f t="shared" si="174"/>
        <v>2.6455026455027841E-3</v>
      </c>
      <c r="T147" s="213">
        <f t="shared" si="174"/>
        <v>0</v>
      </c>
      <c r="U147" s="350">
        <f t="shared" si="174"/>
        <v>0</v>
      </c>
      <c r="V147" s="350">
        <f t="shared" si="174"/>
        <v>0</v>
      </c>
      <c r="W147" s="350">
        <f t="shared" si="174"/>
        <v>0</v>
      </c>
      <c r="X147" s="350">
        <f t="shared" si="174"/>
        <v>0</v>
      </c>
      <c r="Y147" s="350">
        <f t="shared" si="174"/>
        <v>0</v>
      </c>
      <c r="Z147" s="350">
        <f t="shared" si="174"/>
        <v>0</v>
      </c>
      <c r="AA147" s="350">
        <f t="shared" si="174"/>
        <v>0</v>
      </c>
      <c r="AB147" s="350">
        <f t="shared" si="174"/>
        <v>0</v>
      </c>
      <c r="AC147" s="350">
        <f t="shared" si="174"/>
        <v>0</v>
      </c>
      <c r="AD147" s="350">
        <f t="shared" si="174"/>
        <v>0</v>
      </c>
      <c r="AE147" s="348">
        <f t="shared" si="174"/>
        <v>0</v>
      </c>
      <c r="AF147" s="213">
        <f t="shared" si="174"/>
        <v>0</v>
      </c>
      <c r="AG147" s="350">
        <f t="shared" si="174"/>
        <v>0</v>
      </c>
      <c r="AH147" s="350">
        <f t="shared" si="174"/>
        <v>0</v>
      </c>
      <c r="AI147" s="350">
        <f t="shared" si="174"/>
        <v>0</v>
      </c>
      <c r="AJ147" s="350">
        <f t="shared" si="174"/>
        <v>0</v>
      </c>
      <c r="AK147" s="350">
        <f t="shared" si="174"/>
        <v>0</v>
      </c>
      <c r="AL147" s="350">
        <f t="shared" si="174"/>
        <v>0</v>
      </c>
      <c r="AM147" s="350">
        <f t="shared" si="174"/>
        <v>0</v>
      </c>
      <c r="AN147" s="350">
        <f t="shared" si="174"/>
        <v>0</v>
      </c>
      <c r="AO147" s="350">
        <f t="shared" si="174"/>
        <v>0</v>
      </c>
      <c r="AP147" s="350">
        <f t="shared" si="174"/>
        <v>0</v>
      </c>
      <c r="AQ147" s="348">
        <f t="shared" si="174"/>
        <v>0</v>
      </c>
    </row>
    <row r="148" spans="2:43" x14ac:dyDescent="0.3">
      <c r="B148" s="128" t="s">
        <v>138</v>
      </c>
      <c r="C148" s="215">
        <f t="shared" ref="C148:R155" si="175">ROUND(C88,2)/ROUND(C71,2)-1</f>
        <v>-0.13681868743047831</v>
      </c>
      <c r="D148" s="213">
        <f t="shared" si="175"/>
        <v>-0.14343845371312314</v>
      </c>
      <c r="E148" s="350">
        <f t="shared" si="175"/>
        <v>-0.13428280773143442</v>
      </c>
      <c r="F148" s="350">
        <f t="shared" si="175"/>
        <v>-0.13380281690140849</v>
      </c>
      <c r="G148" s="348">
        <f t="shared" si="175"/>
        <v>-0.13380281690140849</v>
      </c>
      <c r="H148" s="213">
        <f t="shared" si="175"/>
        <v>-0.13385826771653553</v>
      </c>
      <c r="I148" s="350">
        <f t="shared" si="175"/>
        <v>-0.16292134831460681</v>
      </c>
      <c r="J148" s="350">
        <f t="shared" si="175"/>
        <v>-0.13385826771653553</v>
      </c>
      <c r="K148" s="350">
        <f t="shared" si="175"/>
        <v>-0.13315217391304357</v>
      </c>
      <c r="L148" s="350">
        <f t="shared" si="175"/>
        <v>-0.13385826771653553</v>
      </c>
      <c r="M148" s="350">
        <f t="shared" si="175"/>
        <v>-0.13315217391304357</v>
      </c>
      <c r="N148" s="350">
        <f t="shared" si="175"/>
        <v>-0.13385826771653553</v>
      </c>
      <c r="O148" s="350">
        <f t="shared" si="175"/>
        <v>-0.13385826771653553</v>
      </c>
      <c r="P148" s="350">
        <f t="shared" si="175"/>
        <v>-0.13315217391304357</v>
      </c>
      <c r="Q148" s="350">
        <f t="shared" si="175"/>
        <v>-0.13385826771653553</v>
      </c>
      <c r="R148" s="350">
        <f t="shared" si="175"/>
        <v>-0.13315217391304357</v>
      </c>
      <c r="S148" s="348">
        <f t="shared" si="174"/>
        <v>-0.13385826771653553</v>
      </c>
      <c r="T148" s="213">
        <f t="shared" si="174"/>
        <v>-0.1333333333333333</v>
      </c>
      <c r="U148" s="350">
        <f t="shared" si="174"/>
        <v>-0.1333333333333333</v>
      </c>
      <c r="V148" s="350">
        <f t="shared" si="174"/>
        <v>-0.1333333333333333</v>
      </c>
      <c r="W148" s="350">
        <f t="shared" si="174"/>
        <v>-0.1333333333333333</v>
      </c>
      <c r="X148" s="350">
        <f t="shared" si="174"/>
        <v>-0.1333333333333333</v>
      </c>
      <c r="Y148" s="350">
        <f t="shared" si="174"/>
        <v>-0.1333333333333333</v>
      </c>
      <c r="Z148" s="350">
        <f t="shared" si="174"/>
        <v>-0.1333333333333333</v>
      </c>
      <c r="AA148" s="350">
        <f t="shared" si="174"/>
        <v>-0.1333333333333333</v>
      </c>
      <c r="AB148" s="350">
        <f t="shared" si="174"/>
        <v>-0.1333333333333333</v>
      </c>
      <c r="AC148" s="350">
        <f t="shared" si="174"/>
        <v>-0.1333333333333333</v>
      </c>
      <c r="AD148" s="350">
        <f t="shared" si="174"/>
        <v>-0.1333333333333333</v>
      </c>
      <c r="AE148" s="348">
        <f t="shared" si="174"/>
        <v>-0.1333333333333333</v>
      </c>
      <c r="AF148" s="213">
        <f t="shared" si="174"/>
        <v>-0.1333333333333333</v>
      </c>
      <c r="AG148" s="350">
        <f t="shared" si="174"/>
        <v>-0.1333333333333333</v>
      </c>
      <c r="AH148" s="350">
        <f t="shared" si="174"/>
        <v>-0.1333333333333333</v>
      </c>
      <c r="AI148" s="350">
        <f t="shared" si="174"/>
        <v>-0.1333333333333333</v>
      </c>
      <c r="AJ148" s="350">
        <f t="shared" si="174"/>
        <v>-0.1333333333333333</v>
      </c>
      <c r="AK148" s="350">
        <f t="shared" si="174"/>
        <v>-0.1333333333333333</v>
      </c>
      <c r="AL148" s="350">
        <f t="shared" si="174"/>
        <v>-0.1333333333333333</v>
      </c>
      <c r="AM148" s="350">
        <f t="shared" si="174"/>
        <v>-0.1333333333333333</v>
      </c>
      <c r="AN148" s="350">
        <f t="shared" si="174"/>
        <v>-0.1333333333333333</v>
      </c>
      <c r="AO148" s="350">
        <f t="shared" si="174"/>
        <v>-0.1333333333333333</v>
      </c>
      <c r="AP148" s="350">
        <f t="shared" si="174"/>
        <v>-0.1333333333333333</v>
      </c>
      <c r="AQ148" s="348">
        <f t="shared" si="174"/>
        <v>-0.1333333333333333</v>
      </c>
    </row>
    <row r="149" spans="2:43" x14ac:dyDescent="0.3">
      <c r="B149" s="128" t="s">
        <v>94</v>
      </c>
      <c r="C149" s="215">
        <f>ROUND(C89,2)/ROUND(C72,2)-1</f>
        <v>0</v>
      </c>
      <c r="D149" s="213">
        <f t="shared" ref="D149:AQ149" si="176">ROUND(D89,2)/ROUND(D72,2)-1</f>
        <v>-8.4507042253521014E-3</v>
      </c>
      <c r="E149" s="350">
        <f t="shared" si="176"/>
        <v>2.5608194622279701E-3</v>
      </c>
      <c r="F149" s="350">
        <f t="shared" si="176"/>
        <v>2.5329280648429542E-3</v>
      </c>
      <c r="G149" s="348">
        <f t="shared" si="176"/>
        <v>2.5329280648429542E-3</v>
      </c>
      <c r="H149" s="213">
        <f t="shared" si="176"/>
        <v>2.6455026455027841E-3</v>
      </c>
      <c r="I149" s="350">
        <f t="shared" si="176"/>
        <v>-3.1824611032531869E-2</v>
      </c>
      <c r="J149" s="350">
        <f t="shared" si="176"/>
        <v>2.6455026455027841E-3</v>
      </c>
      <c r="K149" s="350">
        <f t="shared" si="176"/>
        <v>2.7341079972658111E-3</v>
      </c>
      <c r="L149" s="350">
        <f t="shared" si="176"/>
        <v>2.6455026455027841E-3</v>
      </c>
      <c r="M149" s="350">
        <f t="shared" si="176"/>
        <v>2.7341079972658111E-3</v>
      </c>
      <c r="N149" s="350">
        <f t="shared" si="176"/>
        <v>2.6455026455027841E-3</v>
      </c>
      <c r="O149" s="350">
        <f t="shared" si="176"/>
        <v>2.6455026455027841E-3</v>
      </c>
      <c r="P149" s="350">
        <f t="shared" si="176"/>
        <v>2.7341079972658111E-3</v>
      </c>
      <c r="Q149" s="350">
        <f t="shared" si="176"/>
        <v>2.6455026455027841E-3</v>
      </c>
      <c r="R149" s="350">
        <f t="shared" si="176"/>
        <v>2.7341079972658111E-3</v>
      </c>
      <c r="S149" s="348">
        <f t="shared" si="176"/>
        <v>2.6455026455027841E-3</v>
      </c>
      <c r="T149" s="213">
        <f t="shared" si="176"/>
        <v>0</v>
      </c>
      <c r="U149" s="350">
        <f t="shared" si="176"/>
        <v>0</v>
      </c>
      <c r="V149" s="350">
        <f t="shared" si="176"/>
        <v>0</v>
      </c>
      <c r="W149" s="350">
        <f t="shared" si="176"/>
        <v>0</v>
      </c>
      <c r="X149" s="350">
        <f t="shared" si="176"/>
        <v>0</v>
      </c>
      <c r="Y149" s="350">
        <f t="shared" si="176"/>
        <v>0</v>
      </c>
      <c r="Z149" s="350">
        <f t="shared" si="176"/>
        <v>0</v>
      </c>
      <c r="AA149" s="350">
        <f t="shared" si="176"/>
        <v>0</v>
      </c>
      <c r="AB149" s="350">
        <f t="shared" si="176"/>
        <v>0</v>
      </c>
      <c r="AC149" s="350">
        <f t="shared" si="176"/>
        <v>0</v>
      </c>
      <c r="AD149" s="350">
        <f t="shared" si="176"/>
        <v>0</v>
      </c>
      <c r="AE149" s="348">
        <f t="shared" si="176"/>
        <v>0</v>
      </c>
      <c r="AF149" s="213">
        <f t="shared" si="176"/>
        <v>0</v>
      </c>
      <c r="AG149" s="350">
        <f t="shared" si="176"/>
        <v>0</v>
      </c>
      <c r="AH149" s="350">
        <f t="shared" si="176"/>
        <v>0</v>
      </c>
      <c r="AI149" s="350">
        <f t="shared" si="176"/>
        <v>0</v>
      </c>
      <c r="AJ149" s="350">
        <f t="shared" si="176"/>
        <v>0</v>
      </c>
      <c r="AK149" s="350">
        <f t="shared" si="176"/>
        <v>0</v>
      </c>
      <c r="AL149" s="350">
        <f t="shared" si="176"/>
        <v>0</v>
      </c>
      <c r="AM149" s="350">
        <f t="shared" si="176"/>
        <v>0</v>
      </c>
      <c r="AN149" s="350">
        <f t="shared" si="176"/>
        <v>0</v>
      </c>
      <c r="AO149" s="350">
        <f t="shared" si="176"/>
        <v>0</v>
      </c>
      <c r="AP149" s="350">
        <f t="shared" si="176"/>
        <v>0</v>
      </c>
      <c r="AQ149" s="348">
        <f t="shared" si="176"/>
        <v>0</v>
      </c>
    </row>
    <row r="150" spans="2:43" x14ac:dyDescent="0.3">
      <c r="B150" s="128" t="s">
        <v>95</v>
      </c>
      <c r="C150" s="215">
        <f t="shared" si="175"/>
        <v>0</v>
      </c>
      <c r="D150" s="213">
        <f t="shared" si="174"/>
        <v>-8.1967213114754189E-3</v>
      </c>
      <c r="E150" s="350">
        <f t="shared" si="174"/>
        <v>3.0737704918031294E-3</v>
      </c>
      <c r="F150" s="350">
        <f t="shared" si="174"/>
        <v>3.0395136778116338E-3</v>
      </c>
      <c r="G150" s="348">
        <f t="shared" si="174"/>
        <v>3.0395136778116338E-3</v>
      </c>
      <c r="H150" s="213">
        <f t="shared" si="174"/>
        <v>2.6455026455027841E-3</v>
      </c>
      <c r="I150" s="350">
        <f t="shared" si="174"/>
        <v>-3.1161473087818692E-2</v>
      </c>
      <c r="J150" s="350">
        <f t="shared" si="174"/>
        <v>2.6455026455027841E-3</v>
      </c>
      <c r="K150" s="350">
        <f t="shared" si="174"/>
        <v>2.732240437158362E-3</v>
      </c>
      <c r="L150" s="350">
        <f t="shared" si="174"/>
        <v>2.6455026455027841E-3</v>
      </c>
      <c r="M150" s="350">
        <f t="shared" si="174"/>
        <v>2.732240437158362E-3</v>
      </c>
      <c r="N150" s="350">
        <f t="shared" si="174"/>
        <v>2.6455026455027841E-3</v>
      </c>
      <c r="O150" s="350">
        <f t="shared" si="174"/>
        <v>2.6455026455027841E-3</v>
      </c>
      <c r="P150" s="350">
        <f t="shared" si="174"/>
        <v>2.732240437158362E-3</v>
      </c>
      <c r="Q150" s="350">
        <f t="shared" si="174"/>
        <v>2.6455026455027841E-3</v>
      </c>
      <c r="R150" s="350">
        <f t="shared" si="174"/>
        <v>2.732240437158362E-3</v>
      </c>
      <c r="S150" s="348">
        <f t="shared" si="174"/>
        <v>2.6455026455027841E-3</v>
      </c>
      <c r="T150" s="213">
        <f t="shared" si="174"/>
        <v>0</v>
      </c>
      <c r="U150" s="350">
        <f t="shared" si="174"/>
        <v>0</v>
      </c>
      <c r="V150" s="350">
        <f t="shared" si="174"/>
        <v>0</v>
      </c>
      <c r="W150" s="350">
        <f t="shared" si="174"/>
        <v>0</v>
      </c>
      <c r="X150" s="350">
        <f t="shared" si="174"/>
        <v>0</v>
      </c>
      <c r="Y150" s="350">
        <f t="shared" si="174"/>
        <v>0</v>
      </c>
      <c r="Z150" s="350">
        <f t="shared" si="174"/>
        <v>0</v>
      </c>
      <c r="AA150" s="350">
        <f t="shared" si="174"/>
        <v>0</v>
      </c>
      <c r="AB150" s="350">
        <f t="shared" si="174"/>
        <v>0</v>
      </c>
      <c r="AC150" s="350">
        <f t="shared" si="174"/>
        <v>0</v>
      </c>
      <c r="AD150" s="350">
        <f t="shared" si="174"/>
        <v>0</v>
      </c>
      <c r="AE150" s="348">
        <f t="shared" si="174"/>
        <v>0</v>
      </c>
      <c r="AF150" s="213">
        <f t="shared" si="174"/>
        <v>0</v>
      </c>
      <c r="AG150" s="350">
        <f t="shared" si="174"/>
        <v>0</v>
      </c>
      <c r="AH150" s="350">
        <f t="shared" si="174"/>
        <v>0</v>
      </c>
      <c r="AI150" s="350">
        <f t="shared" si="174"/>
        <v>0</v>
      </c>
      <c r="AJ150" s="350">
        <f t="shared" si="174"/>
        <v>0</v>
      </c>
      <c r="AK150" s="350">
        <f t="shared" si="174"/>
        <v>0</v>
      </c>
      <c r="AL150" s="350">
        <f t="shared" si="174"/>
        <v>0</v>
      </c>
      <c r="AM150" s="350">
        <f t="shared" si="174"/>
        <v>0</v>
      </c>
      <c r="AN150" s="350">
        <f t="shared" si="174"/>
        <v>0</v>
      </c>
      <c r="AO150" s="350">
        <f t="shared" si="174"/>
        <v>0</v>
      </c>
      <c r="AP150" s="350">
        <f t="shared" si="174"/>
        <v>0</v>
      </c>
      <c r="AQ150" s="348">
        <f t="shared" si="174"/>
        <v>0</v>
      </c>
    </row>
    <row r="151" spans="2:43" x14ac:dyDescent="0.3">
      <c r="B151" s="318" t="s">
        <v>167</v>
      </c>
      <c r="C151" s="215" t="s">
        <v>10</v>
      </c>
      <c r="D151" s="213" t="s">
        <v>10</v>
      </c>
      <c r="E151" s="350" t="s">
        <v>10</v>
      </c>
      <c r="F151" s="350" t="s">
        <v>10</v>
      </c>
      <c r="G151" s="348" t="s">
        <v>10</v>
      </c>
      <c r="H151" s="213" t="s">
        <v>10</v>
      </c>
      <c r="I151" s="350" t="s">
        <v>10</v>
      </c>
      <c r="J151" s="350" t="s">
        <v>10</v>
      </c>
      <c r="K151" s="350" t="s">
        <v>10</v>
      </c>
      <c r="L151" s="350" t="s">
        <v>10</v>
      </c>
      <c r="M151" s="350" t="s">
        <v>10</v>
      </c>
      <c r="N151" s="350" t="s">
        <v>10</v>
      </c>
      <c r="O151" s="350" t="s">
        <v>10</v>
      </c>
      <c r="P151" s="350" t="s">
        <v>10</v>
      </c>
      <c r="Q151" s="350" t="s">
        <v>10</v>
      </c>
      <c r="R151" s="350" t="s">
        <v>10</v>
      </c>
      <c r="S151" s="348" t="s">
        <v>10</v>
      </c>
      <c r="T151" s="213" t="s">
        <v>10</v>
      </c>
      <c r="U151" s="350" t="s">
        <v>10</v>
      </c>
      <c r="V151" s="350" t="s">
        <v>10</v>
      </c>
      <c r="W151" s="350" t="s">
        <v>10</v>
      </c>
      <c r="X151" s="350" t="s">
        <v>10</v>
      </c>
      <c r="Y151" s="350" t="s">
        <v>10</v>
      </c>
      <c r="Z151" s="350" t="s">
        <v>10</v>
      </c>
      <c r="AA151" s="350" t="s">
        <v>10</v>
      </c>
      <c r="AB151" s="350" t="s">
        <v>10</v>
      </c>
      <c r="AC151" s="350" t="s">
        <v>10</v>
      </c>
      <c r="AD151" s="350" t="s">
        <v>10</v>
      </c>
      <c r="AE151" s="348" t="s">
        <v>10</v>
      </c>
      <c r="AF151" s="213" t="s">
        <v>10</v>
      </c>
      <c r="AG151" s="350" t="s">
        <v>10</v>
      </c>
      <c r="AH151" s="350" t="s">
        <v>10</v>
      </c>
      <c r="AI151" s="350" t="s">
        <v>10</v>
      </c>
      <c r="AJ151" s="350" t="s">
        <v>10</v>
      </c>
      <c r="AK151" s="350" t="s">
        <v>10</v>
      </c>
      <c r="AL151" s="350" t="s">
        <v>10</v>
      </c>
      <c r="AM151" s="350" t="s">
        <v>10</v>
      </c>
      <c r="AN151" s="350" t="s">
        <v>10</v>
      </c>
      <c r="AO151" s="350" t="s">
        <v>10</v>
      </c>
      <c r="AP151" s="350" t="s">
        <v>10</v>
      </c>
      <c r="AQ151" s="348" t="s">
        <v>10</v>
      </c>
    </row>
    <row r="152" spans="2:43" x14ac:dyDescent="0.3">
      <c r="B152" s="128" t="s">
        <v>96</v>
      </c>
      <c r="C152" s="215">
        <f>ROUND(C92,2)/ROUND(C75,2)-1</f>
        <v>0.30384311957624255</v>
      </c>
      <c r="D152" s="213">
        <f t="shared" ref="D152:AQ152" si="177">ROUND(D92,2)/ROUND(D75,2)-1</f>
        <v>0.29295426452410389</v>
      </c>
      <c r="E152" s="350">
        <f t="shared" si="177"/>
        <v>0.30737536052740011</v>
      </c>
      <c r="F152" s="350">
        <f t="shared" si="177"/>
        <v>0.30778638401956782</v>
      </c>
      <c r="G152" s="348">
        <f t="shared" si="177"/>
        <v>0.30778638401956782</v>
      </c>
      <c r="H152" s="213">
        <f t="shared" si="177"/>
        <v>0.30777422790202325</v>
      </c>
      <c r="I152" s="350">
        <f t="shared" si="177"/>
        <v>0.26166097838452806</v>
      </c>
      <c r="J152" s="350">
        <f t="shared" si="177"/>
        <v>0.30777422790202325</v>
      </c>
      <c r="K152" s="350">
        <f t="shared" si="177"/>
        <v>0.30803080308030806</v>
      </c>
      <c r="L152" s="350">
        <f t="shared" si="177"/>
        <v>0.30777422790202325</v>
      </c>
      <c r="M152" s="350">
        <f t="shared" si="177"/>
        <v>0.30803080308030806</v>
      </c>
      <c r="N152" s="350">
        <f t="shared" si="177"/>
        <v>0.30777422790202325</v>
      </c>
      <c r="O152" s="350">
        <f t="shared" si="177"/>
        <v>0.30777422790202325</v>
      </c>
      <c r="P152" s="350">
        <f t="shared" si="177"/>
        <v>0.30803080308030806</v>
      </c>
      <c r="Q152" s="350">
        <f t="shared" si="177"/>
        <v>0.30777422790202325</v>
      </c>
      <c r="R152" s="350">
        <f t="shared" si="177"/>
        <v>0.30803080308030806</v>
      </c>
      <c r="S152" s="348">
        <f t="shared" si="177"/>
        <v>0.30777422790202325</v>
      </c>
      <c r="T152" s="213">
        <f t="shared" si="177"/>
        <v>0.33333333333333326</v>
      </c>
      <c r="U152" s="350">
        <f t="shared" si="177"/>
        <v>0.33333333333333326</v>
      </c>
      <c r="V152" s="350">
        <f t="shared" si="177"/>
        <v>0.33333333333333326</v>
      </c>
      <c r="W152" s="350">
        <f t="shared" si="177"/>
        <v>0.33333333333333326</v>
      </c>
      <c r="X152" s="350">
        <f t="shared" si="177"/>
        <v>0.33333333333333326</v>
      </c>
      <c r="Y152" s="350">
        <f t="shared" si="177"/>
        <v>0.33333333333333326</v>
      </c>
      <c r="Z152" s="350">
        <f t="shared" si="177"/>
        <v>0.33333333333333326</v>
      </c>
      <c r="AA152" s="350">
        <f t="shared" si="177"/>
        <v>0.33333333333333326</v>
      </c>
      <c r="AB152" s="350">
        <f t="shared" si="177"/>
        <v>0.33333333333333326</v>
      </c>
      <c r="AC152" s="350">
        <f t="shared" si="177"/>
        <v>0.33333333333333326</v>
      </c>
      <c r="AD152" s="350">
        <f t="shared" si="177"/>
        <v>0.33333333333333326</v>
      </c>
      <c r="AE152" s="348">
        <f t="shared" si="177"/>
        <v>0.33333333333333326</v>
      </c>
      <c r="AF152" s="213">
        <f t="shared" si="177"/>
        <v>0.33333333333333326</v>
      </c>
      <c r="AG152" s="350">
        <f t="shared" si="177"/>
        <v>0.33333333333333326</v>
      </c>
      <c r="AH152" s="350">
        <f t="shared" si="177"/>
        <v>0.33333333333333326</v>
      </c>
      <c r="AI152" s="350">
        <f t="shared" si="177"/>
        <v>0.33333333333333326</v>
      </c>
      <c r="AJ152" s="350">
        <f t="shared" si="177"/>
        <v>0.33333333333333326</v>
      </c>
      <c r="AK152" s="350">
        <f t="shared" si="177"/>
        <v>0.33333333333333326</v>
      </c>
      <c r="AL152" s="350">
        <f t="shared" si="177"/>
        <v>0.33333333333333326</v>
      </c>
      <c r="AM152" s="350">
        <f t="shared" si="177"/>
        <v>0.33333333333333326</v>
      </c>
      <c r="AN152" s="350">
        <f t="shared" si="177"/>
        <v>0.33333333333333326</v>
      </c>
      <c r="AO152" s="350">
        <f t="shared" si="177"/>
        <v>0.33333333333333326</v>
      </c>
      <c r="AP152" s="350">
        <f t="shared" si="177"/>
        <v>0.33333333333333326</v>
      </c>
      <c r="AQ152" s="348">
        <f t="shared" si="177"/>
        <v>0.33333333333333326</v>
      </c>
    </row>
    <row r="153" spans="2:43" x14ac:dyDescent="0.3">
      <c r="B153" s="128" t="s">
        <v>97</v>
      </c>
      <c r="C153" s="215">
        <f>ROUND(C93,2)/ROUND(C76,2)-1</f>
        <v>0.15888324873096438</v>
      </c>
      <c r="D153" s="213">
        <f t="shared" ref="D153:AQ153" si="178">ROUND(D93,2)/ROUND(D76,2)-1</f>
        <v>0.14946070878274265</v>
      </c>
      <c r="E153" s="350">
        <f t="shared" si="178"/>
        <v>0.16212871287128716</v>
      </c>
      <c r="F153" s="350">
        <f t="shared" si="178"/>
        <v>0.16149068322981353</v>
      </c>
      <c r="G153" s="348">
        <f t="shared" si="178"/>
        <v>0.16152716593245242</v>
      </c>
      <c r="H153" s="213">
        <f t="shared" si="178"/>
        <v>0.16176470588235303</v>
      </c>
      <c r="I153" s="350">
        <f t="shared" si="178"/>
        <v>0.12223858615611194</v>
      </c>
      <c r="J153" s="350">
        <f t="shared" si="178"/>
        <v>0.16216216216216228</v>
      </c>
      <c r="K153" s="350">
        <f t="shared" si="178"/>
        <v>0.16480446927374293</v>
      </c>
      <c r="L153" s="350">
        <f t="shared" si="178"/>
        <v>0.16271186440677954</v>
      </c>
      <c r="M153" s="350">
        <f t="shared" si="178"/>
        <v>0.161904761904762</v>
      </c>
      <c r="N153" s="350">
        <f t="shared" si="178"/>
        <v>0.16279069767441867</v>
      </c>
      <c r="O153" s="350">
        <f t="shared" si="178"/>
        <v>0.16417910447761197</v>
      </c>
      <c r="P153" s="350">
        <f t="shared" si="178"/>
        <v>0.16216216216216228</v>
      </c>
      <c r="Q153" s="350">
        <f t="shared" si="178"/>
        <v>0.16195856873822989</v>
      </c>
      <c r="R153" s="350">
        <f t="shared" si="178"/>
        <v>0.16304347826086962</v>
      </c>
      <c r="S153" s="348">
        <f t="shared" si="178"/>
        <v>0.16187050359712241</v>
      </c>
      <c r="T153" s="213">
        <f t="shared" si="178"/>
        <v>0.15094339622641506</v>
      </c>
      <c r="U153" s="350">
        <f t="shared" si="178"/>
        <v>0.14893617021276606</v>
      </c>
      <c r="V153" s="350">
        <f t="shared" si="178"/>
        <v>0.16363636363636358</v>
      </c>
      <c r="W153" s="350">
        <f t="shared" si="178"/>
        <v>0.16666666666666674</v>
      </c>
      <c r="X153" s="350">
        <f t="shared" si="178"/>
        <v>0.15789473684210531</v>
      </c>
      <c r="Y153" s="350">
        <f t="shared" si="178"/>
        <v>0.14285714285714279</v>
      </c>
      <c r="Z153" s="350">
        <f t="shared" si="178"/>
        <v>0.14285714285714279</v>
      </c>
      <c r="AA153" s="350">
        <f t="shared" si="178"/>
        <v>0.13636363636363646</v>
      </c>
      <c r="AB153" s="350">
        <f t="shared" si="178"/>
        <v>0.18518518518518512</v>
      </c>
      <c r="AC153" s="350">
        <f t="shared" si="178"/>
        <v>0.17647058823529416</v>
      </c>
      <c r="AD153" s="350">
        <f t="shared" si="178"/>
        <v>0.16216216216216206</v>
      </c>
      <c r="AE153" s="348">
        <f t="shared" si="178"/>
        <v>0.16666666666666674</v>
      </c>
      <c r="AF153" s="213">
        <f t="shared" si="178"/>
        <v>0.15094339622641506</v>
      </c>
      <c r="AG153" s="350">
        <f t="shared" si="178"/>
        <v>0.14893617021276606</v>
      </c>
      <c r="AH153" s="350">
        <f t="shared" si="178"/>
        <v>0.16363636363636358</v>
      </c>
      <c r="AI153" s="350">
        <f t="shared" si="178"/>
        <v>0.16666666666666674</v>
      </c>
      <c r="AJ153" s="350">
        <f t="shared" si="178"/>
        <v>0.15789473684210531</v>
      </c>
      <c r="AK153" s="350">
        <f t="shared" si="178"/>
        <v>0.14285714285714279</v>
      </c>
      <c r="AL153" s="350">
        <f t="shared" si="178"/>
        <v>0.14285714285714279</v>
      </c>
      <c r="AM153" s="350">
        <f t="shared" si="178"/>
        <v>0.13636363636363646</v>
      </c>
      <c r="AN153" s="350">
        <f t="shared" si="178"/>
        <v>0.18518518518518512</v>
      </c>
      <c r="AO153" s="350">
        <f t="shared" si="178"/>
        <v>0.17647058823529416</v>
      </c>
      <c r="AP153" s="350">
        <f t="shared" si="178"/>
        <v>0.16216216216216206</v>
      </c>
      <c r="AQ153" s="348">
        <f t="shared" si="178"/>
        <v>0.16666666666666674</v>
      </c>
    </row>
    <row r="154" spans="2:43" x14ac:dyDescent="0.3">
      <c r="B154" s="318" t="s">
        <v>168</v>
      </c>
      <c r="C154" s="215" t="s">
        <v>10</v>
      </c>
      <c r="D154" s="213" t="s">
        <v>10</v>
      </c>
      <c r="E154" s="350" t="s">
        <v>10</v>
      </c>
      <c r="F154" s="350" t="s">
        <v>10</v>
      </c>
      <c r="G154" s="348" t="s">
        <v>10</v>
      </c>
      <c r="H154" s="213" t="s">
        <v>10</v>
      </c>
      <c r="I154" s="350" t="s">
        <v>10</v>
      </c>
      <c r="J154" s="350" t="s">
        <v>10</v>
      </c>
      <c r="K154" s="350" t="s">
        <v>10</v>
      </c>
      <c r="L154" s="350" t="s">
        <v>10</v>
      </c>
      <c r="M154" s="350" t="s">
        <v>10</v>
      </c>
      <c r="N154" s="350" t="s">
        <v>10</v>
      </c>
      <c r="O154" s="350" t="s">
        <v>10</v>
      </c>
      <c r="P154" s="350" t="s">
        <v>10</v>
      </c>
      <c r="Q154" s="350" t="s">
        <v>10</v>
      </c>
      <c r="R154" s="350" t="s">
        <v>10</v>
      </c>
      <c r="S154" s="348" t="s">
        <v>10</v>
      </c>
      <c r="T154" s="213" t="s">
        <v>10</v>
      </c>
      <c r="U154" s="350" t="s">
        <v>10</v>
      </c>
      <c r="V154" s="350" t="s">
        <v>10</v>
      </c>
      <c r="W154" s="350" t="s">
        <v>10</v>
      </c>
      <c r="X154" s="350" t="s">
        <v>10</v>
      </c>
      <c r="Y154" s="350" t="s">
        <v>10</v>
      </c>
      <c r="Z154" s="350" t="s">
        <v>10</v>
      </c>
      <c r="AA154" s="350" t="s">
        <v>10</v>
      </c>
      <c r="AB154" s="350" t="s">
        <v>10</v>
      </c>
      <c r="AC154" s="350" t="s">
        <v>10</v>
      </c>
      <c r="AD154" s="350" t="s">
        <v>10</v>
      </c>
      <c r="AE154" s="348" t="s">
        <v>10</v>
      </c>
      <c r="AF154" s="213" t="s">
        <v>10</v>
      </c>
      <c r="AG154" s="350" t="s">
        <v>10</v>
      </c>
      <c r="AH154" s="350" t="s">
        <v>10</v>
      </c>
      <c r="AI154" s="350" t="s">
        <v>10</v>
      </c>
      <c r="AJ154" s="350" t="s">
        <v>10</v>
      </c>
      <c r="AK154" s="350" t="s">
        <v>10</v>
      </c>
      <c r="AL154" s="350" t="s">
        <v>10</v>
      </c>
      <c r="AM154" s="350" t="s">
        <v>10</v>
      </c>
      <c r="AN154" s="350" t="s">
        <v>10</v>
      </c>
      <c r="AO154" s="350" t="s">
        <v>10</v>
      </c>
      <c r="AP154" s="350" t="s">
        <v>10</v>
      </c>
      <c r="AQ154" s="348" t="s">
        <v>10</v>
      </c>
    </row>
    <row r="155" spans="2:43" ht="15" thickBot="1" x14ac:dyDescent="0.35">
      <c r="B155" s="210" t="s">
        <v>98</v>
      </c>
      <c r="C155" s="351">
        <f t="shared" si="175"/>
        <v>1.0211390635918938</v>
      </c>
      <c r="D155" s="352">
        <f t="shared" si="174"/>
        <v>1.0041379310344825</v>
      </c>
      <c r="E155" s="353">
        <f t="shared" si="174"/>
        <v>1.0265417642466823</v>
      </c>
      <c r="F155" s="353">
        <f t="shared" si="174"/>
        <v>1.0271668822768434</v>
      </c>
      <c r="G155" s="354">
        <f t="shared" si="174"/>
        <v>1.0268915223336372</v>
      </c>
      <c r="H155" s="352">
        <f t="shared" si="174"/>
        <v>1.0267983074753171</v>
      </c>
      <c r="I155" s="353">
        <f t="shared" si="174"/>
        <v>0.95770392749244726</v>
      </c>
      <c r="J155" s="353">
        <f t="shared" si="174"/>
        <v>1.0271281571562212</v>
      </c>
      <c r="K155" s="353">
        <f t="shared" si="174"/>
        <v>1.0277777777777777</v>
      </c>
      <c r="L155" s="353">
        <f t="shared" si="174"/>
        <v>1.0275049115913557</v>
      </c>
      <c r="M155" s="353">
        <f t="shared" si="174"/>
        <v>1.028436018957346</v>
      </c>
      <c r="N155" s="353">
        <f t="shared" si="174"/>
        <v>1.0264550264550265</v>
      </c>
      <c r="O155" s="353">
        <f t="shared" si="174"/>
        <v>1.0306122448979593</v>
      </c>
      <c r="P155" s="353">
        <f t="shared" si="174"/>
        <v>1.0258302583025833</v>
      </c>
      <c r="Q155" s="353">
        <f t="shared" si="174"/>
        <v>1.0280254777070064</v>
      </c>
      <c r="R155" s="353">
        <f t="shared" si="174"/>
        <v>1.0260355029585804</v>
      </c>
      <c r="S155" s="354">
        <f t="shared" si="174"/>
        <v>1.0271084337349397</v>
      </c>
      <c r="T155" s="352">
        <f t="shared" si="174"/>
        <v>1.0329670329670328</v>
      </c>
      <c r="U155" s="353">
        <f t="shared" si="174"/>
        <v>1.0144927536231885</v>
      </c>
      <c r="V155" s="353">
        <f t="shared" si="174"/>
        <v>1.0289855072463769</v>
      </c>
      <c r="W155" s="353">
        <f t="shared" si="174"/>
        <v>1.024390243902439</v>
      </c>
      <c r="X155" s="353">
        <f t="shared" si="174"/>
        <v>1.0303030303030303</v>
      </c>
      <c r="Y155" s="353">
        <f t="shared" si="174"/>
        <v>1.0357142857142851</v>
      </c>
      <c r="Z155" s="353">
        <f t="shared" si="174"/>
        <v>1.0833333333333335</v>
      </c>
      <c r="AA155" s="353">
        <f t="shared" si="174"/>
        <v>1</v>
      </c>
      <c r="AB155" s="353">
        <f t="shared" si="174"/>
        <v>1.0277777777777777</v>
      </c>
      <c r="AC155" s="353">
        <f t="shared" si="174"/>
        <v>1.0196078431372548</v>
      </c>
      <c r="AD155" s="353">
        <f t="shared" si="174"/>
        <v>1.0357142857142851</v>
      </c>
      <c r="AE155" s="354">
        <f t="shared" si="174"/>
        <v>1.03125</v>
      </c>
      <c r="AF155" s="352">
        <f t="shared" si="174"/>
        <v>1.0329670329670328</v>
      </c>
      <c r="AG155" s="353">
        <f t="shared" si="174"/>
        <v>1.0144927536231885</v>
      </c>
      <c r="AH155" s="353">
        <f t="shared" si="174"/>
        <v>1.0289855072463769</v>
      </c>
      <c r="AI155" s="353">
        <f t="shared" si="174"/>
        <v>1.024390243902439</v>
      </c>
      <c r="AJ155" s="353">
        <f t="shared" si="174"/>
        <v>1.0303030303030303</v>
      </c>
      <c r="AK155" s="353">
        <f t="shared" si="174"/>
        <v>1.0357142857142851</v>
      </c>
      <c r="AL155" s="353">
        <f t="shared" si="174"/>
        <v>1.0833333333333335</v>
      </c>
      <c r="AM155" s="353">
        <f t="shared" si="174"/>
        <v>1</v>
      </c>
      <c r="AN155" s="353">
        <f t="shared" si="174"/>
        <v>1.0277777777777777</v>
      </c>
      <c r="AO155" s="353">
        <f t="shared" si="174"/>
        <v>1.0196078431372548</v>
      </c>
      <c r="AP155" s="353">
        <f t="shared" si="174"/>
        <v>1.0357142857142851</v>
      </c>
      <c r="AQ155" s="354">
        <f t="shared" si="174"/>
        <v>1.03125</v>
      </c>
    </row>
    <row r="156" spans="2:43" ht="15.6" x14ac:dyDescent="0.3">
      <c r="B156" s="419" t="s">
        <v>176</v>
      </c>
      <c r="C156" s="420"/>
      <c r="D156" s="420"/>
      <c r="E156" s="420"/>
      <c r="F156" s="420"/>
      <c r="G156" s="420"/>
      <c r="H156" s="420"/>
      <c r="I156" s="420"/>
      <c r="J156" s="420"/>
      <c r="K156" s="420"/>
      <c r="L156" s="420"/>
      <c r="M156" s="420"/>
      <c r="N156" s="420"/>
      <c r="O156" s="420"/>
      <c r="P156" s="420"/>
      <c r="Q156" s="420"/>
      <c r="R156" s="420"/>
      <c r="S156" s="420"/>
      <c r="T156" s="420"/>
      <c r="U156" s="420"/>
      <c r="V156" s="420"/>
      <c r="W156" s="420"/>
      <c r="X156" s="420"/>
      <c r="Y156" s="420"/>
      <c r="Z156" s="420"/>
      <c r="AA156" s="420"/>
      <c r="AB156" s="420"/>
      <c r="AC156" s="420"/>
      <c r="AD156" s="420"/>
      <c r="AE156" s="420"/>
      <c r="AF156" s="420"/>
      <c r="AG156" s="420"/>
      <c r="AH156" s="420"/>
      <c r="AI156" s="420"/>
      <c r="AJ156" s="420"/>
      <c r="AK156" s="420"/>
      <c r="AL156" s="420"/>
      <c r="AM156" s="420"/>
      <c r="AN156" s="420"/>
      <c r="AO156" s="420"/>
      <c r="AP156" s="420"/>
      <c r="AQ156" s="420"/>
    </row>
    <row r="157" spans="2:43" x14ac:dyDescent="0.3">
      <c r="B157" s="132"/>
      <c r="C157" s="396" t="s">
        <v>84</v>
      </c>
      <c r="D157" s="399" t="s">
        <v>82</v>
      </c>
      <c r="E157" s="399"/>
      <c r="F157" s="399"/>
      <c r="G157" s="400"/>
      <c r="H157" s="399" t="s">
        <v>83</v>
      </c>
      <c r="I157" s="399"/>
      <c r="J157" s="399"/>
      <c r="K157" s="399"/>
      <c r="L157" s="399"/>
      <c r="M157" s="399"/>
      <c r="N157" s="399"/>
      <c r="O157" s="399"/>
      <c r="P157" s="399"/>
      <c r="Q157" s="399"/>
      <c r="R157" s="399"/>
      <c r="S157" s="400"/>
      <c r="T157" s="399" t="s">
        <v>91</v>
      </c>
      <c r="U157" s="399"/>
      <c r="V157" s="399"/>
      <c r="W157" s="399"/>
      <c r="X157" s="399"/>
      <c r="Y157" s="399"/>
      <c r="Z157" s="399"/>
      <c r="AA157" s="399"/>
      <c r="AB157" s="399"/>
      <c r="AC157" s="399"/>
      <c r="AD157" s="399"/>
      <c r="AE157" s="401"/>
      <c r="AF157" s="402" t="s">
        <v>92</v>
      </c>
      <c r="AG157" s="399"/>
      <c r="AH157" s="399"/>
      <c r="AI157" s="399"/>
      <c r="AJ157" s="399"/>
      <c r="AK157" s="399"/>
      <c r="AL157" s="399"/>
      <c r="AM157" s="399"/>
      <c r="AN157" s="399"/>
      <c r="AO157" s="399"/>
      <c r="AP157" s="399"/>
      <c r="AQ157" s="401"/>
    </row>
    <row r="158" spans="2:43" x14ac:dyDescent="0.3">
      <c r="B158" s="125"/>
      <c r="C158" s="397"/>
      <c r="D158" s="317" t="s">
        <v>39</v>
      </c>
      <c r="E158" s="349" t="s">
        <v>40</v>
      </c>
      <c r="F158" s="349" t="s">
        <v>41</v>
      </c>
      <c r="G158" s="240" t="s">
        <v>42</v>
      </c>
      <c r="H158" s="317" t="s">
        <v>24</v>
      </c>
      <c r="I158" s="349" t="s">
        <v>25</v>
      </c>
      <c r="J158" s="349" t="s">
        <v>26</v>
      </c>
      <c r="K158" s="349" t="s">
        <v>27</v>
      </c>
      <c r="L158" s="349" t="s">
        <v>17</v>
      </c>
      <c r="M158" s="349" t="s">
        <v>28</v>
      </c>
      <c r="N158" s="349" t="s">
        <v>29</v>
      </c>
      <c r="O158" s="349" t="s">
        <v>30</v>
      </c>
      <c r="P158" s="349" t="s">
        <v>31</v>
      </c>
      <c r="Q158" s="349" t="s">
        <v>32</v>
      </c>
      <c r="R158" s="349" t="s">
        <v>33</v>
      </c>
      <c r="S158" s="240" t="s">
        <v>34</v>
      </c>
      <c r="T158" s="317" t="s">
        <v>24</v>
      </c>
      <c r="U158" s="349" t="s">
        <v>25</v>
      </c>
      <c r="V158" s="349" t="s">
        <v>26</v>
      </c>
      <c r="W158" s="349" t="s">
        <v>27</v>
      </c>
      <c r="X158" s="349" t="s">
        <v>17</v>
      </c>
      <c r="Y158" s="349" t="s">
        <v>28</v>
      </c>
      <c r="Z158" s="349" t="s">
        <v>29</v>
      </c>
      <c r="AA158" s="349" t="s">
        <v>30</v>
      </c>
      <c r="AB158" s="349" t="s">
        <v>31</v>
      </c>
      <c r="AC158" s="349" t="s">
        <v>32</v>
      </c>
      <c r="AD158" s="349" t="s">
        <v>33</v>
      </c>
      <c r="AE158" s="316" t="s">
        <v>34</v>
      </c>
      <c r="AF158" s="218" t="s">
        <v>24</v>
      </c>
      <c r="AG158" s="349" t="s">
        <v>25</v>
      </c>
      <c r="AH158" s="349" t="s">
        <v>26</v>
      </c>
      <c r="AI158" s="349" t="s">
        <v>27</v>
      </c>
      <c r="AJ158" s="349" t="s">
        <v>17</v>
      </c>
      <c r="AK158" s="349" t="s">
        <v>28</v>
      </c>
      <c r="AL158" s="349" t="s">
        <v>29</v>
      </c>
      <c r="AM158" s="349" t="s">
        <v>30</v>
      </c>
      <c r="AN158" s="349" t="s">
        <v>31</v>
      </c>
      <c r="AO158" s="349" t="s">
        <v>32</v>
      </c>
      <c r="AP158" s="349" t="s">
        <v>33</v>
      </c>
      <c r="AQ158" s="126" t="s">
        <v>34</v>
      </c>
    </row>
    <row r="159" spans="2:43" x14ac:dyDescent="0.3">
      <c r="B159" s="128" t="s">
        <v>93</v>
      </c>
      <c r="C159" s="215">
        <f>ROUND(C104,2)/ROUND(C87,2)-1</f>
        <v>0</v>
      </c>
      <c r="D159" s="213">
        <f t="shared" ref="D159:AQ167" si="179">ROUND(D104,2)/ROUND(D87,2)-1</f>
        <v>0</v>
      </c>
      <c r="E159" s="350">
        <f t="shared" si="179"/>
        <v>0</v>
      </c>
      <c r="F159" s="350">
        <f t="shared" si="179"/>
        <v>0</v>
      </c>
      <c r="G159" s="348">
        <f t="shared" si="179"/>
        <v>0</v>
      </c>
      <c r="H159" s="213">
        <f t="shared" si="179"/>
        <v>0</v>
      </c>
      <c r="I159" s="350">
        <f t="shared" si="179"/>
        <v>0</v>
      </c>
      <c r="J159" s="350">
        <f t="shared" si="179"/>
        <v>0</v>
      </c>
      <c r="K159" s="350">
        <f t="shared" si="179"/>
        <v>0</v>
      </c>
      <c r="L159" s="350">
        <f t="shared" si="179"/>
        <v>0</v>
      </c>
      <c r="M159" s="350">
        <f t="shared" si="179"/>
        <v>0</v>
      </c>
      <c r="N159" s="350">
        <f t="shared" si="179"/>
        <v>0</v>
      </c>
      <c r="O159" s="350">
        <f t="shared" si="179"/>
        <v>0</v>
      </c>
      <c r="P159" s="350">
        <f t="shared" si="179"/>
        <v>0</v>
      </c>
      <c r="Q159" s="350">
        <f t="shared" si="179"/>
        <v>0</v>
      </c>
      <c r="R159" s="350">
        <f t="shared" si="179"/>
        <v>0</v>
      </c>
      <c r="S159" s="348">
        <f t="shared" si="179"/>
        <v>0</v>
      </c>
      <c r="T159" s="213">
        <f t="shared" si="179"/>
        <v>0</v>
      </c>
      <c r="U159" s="350">
        <f t="shared" si="179"/>
        <v>0</v>
      </c>
      <c r="V159" s="350">
        <f t="shared" si="179"/>
        <v>0</v>
      </c>
      <c r="W159" s="350">
        <f t="shared" si="179"/>
        <v>0</v>
      </c>
      <c r="X159" s="350">
        <f t="shared" si="179"/>
        <v>0</v>
      </c>
      <c r="Y159" s="350">
        <f t="shared" si="179"/>
        <v>0</v>
      </c>
      <c r="Z159" s="350">
        <f t="shared" si="179"/>
        <v>0</v>
      </c>
      <c r="AA159" s="350">
        <f t="shared" si="179"/>
        <v>0</v>
      </c>
      <c r="AB159" s="350">
        <f t="shared" si="179"/>
        <v>0</v>
      </c>
      <c r="AC159" s="350">
        <f t="shared" si="179"/>
        <v>0</v>
      </c>
      <c r="AD159" s="350">
        <f t="shared" si="179"/>
        <v>0</v>
      </c>
      <c r="AE159" s="348">
        <f t="shared" si="179"/>
        <v>0</v>
      </c>
      <c r="AF159" s="213">
        <f t="shared" si="179"/>
        <v>0</v>
      </c>
      <c r="AG159" s="350">
        <f t="shared" si="179"/>
        <v>0</v>
      </c>
      <c r="AH159" s="350">
        <f t="shared" si="179"/>
        <v>0</v>
      </c>
      <c r="AI159" s="350">
        <f t="shared" si="179"/>
        <v>0</v>
      </c>
      <c r="AJ159" s="350">
        <f t="shared" si="179"/>
        <v>0</v>
      </c>
      <c r="AK159" s="350">
        <f t="shared" si="179"/>
        <v>0</v>
      </c>
      <c r="AL159" s="350">
        <f t="shared" si="179"/>
        <v>0</v>
      </c>
      <c r="AM159" s="350">
        <f t="shared" si="179"/>
        <v>0</v>
      </c>
      <c r="AN159" s="350">
        <f t="shared" si="179"/>
        <v>0</v>
      </c>
      <c r="AO159" s="350">
        <f t="shared" si="179"/>
        <v>0</v>
      </c>
      <c r="AP159" s="350">
        <f t="shared" si="179"/>
        <v>0</v>
      </c>
      <c r="AQ159" s="348">
        <f t="shared" si="179"/>
        <v>0</v>
      </c>
    </row>
    <row r="160" spans="2:43" x14ac:dyDescent="0.3">
      <c r="B160" s="128" t="s">
        <v>138</v>
      </c>
      <c r="C160" s="215">
        <f t="shared" ref="C160:R165" si="180">ROUND(C105,2)/ROUND(C88,2)-1</f>
        <v>-5.7989690721649501E-2</v>
      </c>
      <c r="D160" s="213">
        <f t="shared" si="180"/>
        <v>-5.8194774346793321E-2</v>
      </c>
      <c r="E160" s="350">
        <f t="shared" si="180"/>
        <v>-5.7579318448883643E-2</v>
      </c>
      <c r="F160" s="350">
        <f t="shared" si="180"/>
        <v>-5.8072009291521454E-2</v>
      </c>
      <c r="G160" s="348">
        <f t="shared" si="180"/>
        <v>-5.8072009291521454E-2</v>
      </c>
      <c r="H160" s="213">
        <f t="shared" si="180"/>
        <v>-6.0606060606060552E-2</v>
      </c>
      <c r="I160" s="350">
        <f t="shared" si="180"/>
        <v>-6.0402684563758413E-2</v>
      </c>
      <c r="J160" s="350">
        <f t="shared" si="180"/>
        <v>-6.0606060606060552E-2</v>
      </c>
      <c r="K160" s="350">
        <f t="shared" si="180"/>
        <v>-5.9561128526645746E-2</v>
      </c>
      <c r="L160" s="350">
        <f t="shared" si="180"/>
        <v>-6.0606060606060552E-2</v>
      </c>
      <c r="M160" s="350">
        <f t="shared" si="180"/>
        <v>-5.9561128526645746E-2</v>
      </c>
      <c r="N160" s="350">
        <f t="shared" si="180"/>
        <v>-6.0606060606060552E-2</v>
      </c>
      <c r="O160" s="350">
        <f t="shared" si="180"/>
        <v>-6.0606060606060552E-2</v>
      </c>
      <c r="P160" s="350">
        <f t="shared" si="180"/>
        <v>-5.9561128526645746E-2</v>
      </c>
      <c r="Q160" s="350">
        <f t="shared" si="180"/>
        <v>-6.0606060606060552E-2</v>
      </c>
      <c r="R160" s="350">
        <f t="shared" si="180"/>
        <v>-5.9561128526645746E-2</v>
      </c>
      <c r="S160" s="348">
        <f t="shared" si="179"/>
        <v>-6.0606060606060552E-2</v>
      </c>
      <c r="T160" s="213">
        <f t="shared" si="179"/>
        <v>-7.6923076923076983E-2</v>
      </c>
      <c r="U160" s="350">
        <f t="shared" si="179"/>
        <v>-7.6923076923076983E-2</v>
      </c>
      <c r="V160" s="350">
        <f t="shared" si="179"/>
        <v>-7.6923076923076983E-2</v>
      </c>
      <c r="W160" s="350">
        <f t="shared" si="179"/>
        <v>-7.6923076923076983E-2</v>
      </c>
      <c r="X160" s="350">
        <f t="shared" si="179"/>
        <v>-7.6923076923076983E-2</v>
      </c>
      <c r="Y160" s="350">
        <f t="shared" si="179"/>
        <v>-7.6923076923076983E-2</v>
      </c>
      <c r="Z160" s="350">
        <f t="shared" si="179"/>
        <v>-7.6923076923076983E-2</v>
      </c>
      <c r="AA160" s="350">
        <f t="shared" si="179"/>
        <v>-7.6923076923076983E-2</v>
      </c>
      <c r="AB160" s="350">
        <f t="shared" si="179"/>
        <v>-7.6923076923076983E-2</v>
      </c>
      <c r="AC160" s="350">
        <f t="shared" si="179"/>
        <v>-7.6923076923076983E-2</v>
      </c>
      <c r="AD160" s="350">
        <f t="shared" si="179"/>
        <v>-7.6923076923076983E-2</v>
      </c>
      <c r="AE160" s="348">
        <f t="shared" si="179"/>
        <v>-7.6923076923076983E-2</v>
      </c>
      <c r="AF160" s="213">
        <f t="shared" si="179"/>
        <v>-7.6923076923076983E-2</v>
      </c>
      <c r="AG160" s="350">
        <f t="shared" si="179"/>
        <v>-7.6923076923076983E-2</v>
      </c>
      <c r="AH160" s="350">
        <f t="shared" si="179"/>
        <v>-7.6923076923076983E-2</v>
      </c>
      <c r="AI160" s="350">
        <f t="shared" si="179"/>
        <v>-7.6923076923076983E-2</v>
      </c>
      <c r="AJ160" s="350">
        <f t="shared" si="179"/>
        <v>-7.6923076923076983E-2</v>
      </c>
      <c r="AK160" s="350">
        <f t="shared" si="179"/>
        <v>-7.6923076923076983E-2</v>
      </c>
      <c r="AL160" s="350">
        <f t="shared" si="179"/>
        <v>-7.6923076923076983E-2</v>
      </c>
      <c r="AM160" s="350">
        <f t="shared" si="179"/>
        <v>-7.6923076923076983E-2</v>
      </c>
      <c r="AN160" s="350">
        <f t="shared" si="179"/>
        <v>-7.6923076923076983E-2</v>
      </c>
      <c r="AO160" s="350">
        <f t="shared" si="179"/>
        <v>-7.6923076923076983E-2</v>
      </c>
      <c r="AP160" s="350">
        <f t="shared" si="179"/>
        <v>-7.6923076923076983E-2</v>
      </c>
      <c r="AQ160" s="348">
        <f t="shared" si="179"/>
        <v>-7.6923076923076983E-2</v>
      </c>
    </row>
    <row r="161" spans="2:43" x14ac:dyDescent="0.3">
      <c r="B161" s="128" t="s">
        <v>94</v>
      </c>
      <c r="C161" s="215">
        <f t="shared" si="180"/>
        <v>0</v>
      </c>
      <c r="D161" s="213">
        <f t="shared" si="179"/>
        <v>0</v>
      </c>
      <c r="E161" s="350">
        <f t="shared" si="179"/>
        <v>0</v>
      </c>
      <c r="F161" s="350">
        <f t="shared" si="179"/>
        <v>0</v>
      </c>
      <c r="G161" s="348">
        <f t="shared" si="179"/>
        <v>0</v>
      </c>
      <c r="H161" s="213">
        <f t="shared" si="179"/>
        <v>0</v>
      </c>
      <c r="I161" s="350">
        <f t="shared" si="179"/>
        <v>0</v>
      </c>
      <c r="J161" s="350">
        <f t="shared" si="179"/>
        <v>0</v>
      </c>
      <c r="K161" s="350">
        <f t="shared" si="179"/>
        <v>0</v>
      </c>
      <c r="L161" s="350">
        <f t="shared" si="179"/>
        <v>0</v>
      </c>
      <c r="M161" s="350">
        <f t="shared" si="179"/>
        <v>0</v>
      </c>
      <c r="N161" s="350">
        <f t="shared" si="179"/>
        <v>0</v>
      </c>
      <c r="O161" s="350">
        <f t="shared" si="179"/>
        <v>0</v>
      </c>
      <c r="P161" s="350">
        <f t="shared" si="179"/>
        <v>0</v>
      </c>
      <c r="Q161" s="350">
        <f t="shared" si="179"/>
        <v>0</v>
      </c>
      <c r="R161" s="350">
        <f t="shared" si="179"/>
        <v>0</v>
      </c>
      <c r="S161" s="348">
        <f t="shared" si="179"/>
        <v>0</v>
      </c>
      <c r="T161" s="213">
        <f t="shared" si="179"/>
        <v>0</v>
      </c>
      <c r="U161" s="350">
        <f t="shared" si="179"/>
        <v>0</v>
      </c>
      <c r="V161" s="350">
        <f t="shared" si="179"/>
        <v>0</v>
      </c>
      <c r="W161" s="350">
        <f t="shared" si="179"/>
        <v>0</v>
      </c>
      <c r="X161" s="350">
        <f t="shared" si="179"/>
        <v>0</v>
      </c>
      <c r="Y161" s="350">
        <f t="shared" si="179"/>
        <v>0</v>
      </c>
      <c r="Z161" s="350">
        <f t="shared" si="179"/>
        <v>0</v>
      </c>
      <c r="AA161" s="350">
        <f t="shared" si="179"/>
        <v>0</v>
      </c>
      <c r="AB161" s="350">
        <f t="shared" si="179"/>
        <v>0</v>
      </c>
      <c r="AC161" s="350">
        <f t="shared" si="179"/>
        <v>0</v>
      </c>
      <c r="AD161" s="350">
        <f t="shared" si="179"/>
        <v>0</v>
      </c>
      <c r="AE161" s="348">
        <f t="shared" si="179"/>
        <v>0</v>
      </c>
      <c r="AF161" s="213">
        <f t="shared" si="179"/>
        <v>0</v>
      </c>
      <c r="AG161" s="350">
        <f t="shared" si="179"/>
        <v>0</v>
      </c>
      <c r="AH161" s="350">
        <f t="shared" si="179"/>
        <v>0</v>
      </c>
      <c r="AI161" s="350">
        <f t="shared" si="179"/>
        <v>0</v>
      </c>
      <c r="AJ161" s="350">
        <f t="shared" si="179"/>
        <v>0</v>
      </c>
      <c r="AK161" s="350">
        <f t="shared" si="179"/>
        <v>0</v>
      </c>
      <c r="AL161" s="350">
        <f t="shared" si="179"/>
        <v>0</v>
      </c>
      <c r="AM161" s="350">
        <f t="shared" si="179"/>
        <v>0</v>
      </c>
      <c r="AN161" s="350">
        <f t="shared" si="179"/>
        <v>0</v>
      </c>
      <c r="AO161" s="350">
        <f t="shared" si="179"/>
        <v>0</v>
      </c>
      <c r="AP161" s="350">
        <f t="shared" si="179"/>
        <v>0</v>
      </c>
      <c r="AQ161" s="348">
        <f t="shared" si="179"/>
        <v>0</v>
      </c>
    </row>
    <row r="162" spans="2:43" x14ac:dyDescent="0.3">
      <c r="B162" s="128" t="s">
        <v>95</v>
      </c>
      <c r="C162" s="215">
        <f t="shared" si="180"/>
        <v>0</v>
      </c>
      <c r="D162" s="213">
        <f t="shared" si="179"/>
        <v>0</v>
      </c>
      <c r="E162" s="350">
        <f t="shared" si="179"/>
        <v>0</v>
      </c>
      <c r="F162" s="350">
        <f t="shared" si="179"/>
        <v>0</v>
      </c>
      <c r="G162" s="348">
        <f t="shared" si="179"/>
        <v>0</v>
      </c>
      <c r="H162" s="213">
        <f t="shared" si="179"/>
        <v>0</v>
      </c>
      <c r="I162" s="350">
        <f t="shared" si="179"/>
        <v>0</v>
      </c>
      <c r="J162" s="350">
        <f t="shared" si="179"/>
        <v>0</v>
      </c>
      <c r="K162" s="350">
        <f t="shared" si="179"/>
        <v>0</v>
      </c>
      <c r="L162" s="350">
        <f t="shared" si="179"/>
        <v>0</v>
      </c>
      <c r="M162" s="350">
        <f t="shared" si="179"/>
        <v>0</v>
      </c>
      <c r="N162" s="350">
        <f t="shared" si="179"/>
        <v>0</v>
      </c>
      <c r="O162" s="350">
        <f t="shared" si="179"/>
        <v>0</v>
      </c>
      <c r="P162" s="350">
        <f t="shared" si="179"/>
        <v>0</v>
      </c>
      <c r="Q162" s="350">
        <f t="shared" si="179"/>
        <v>0</v>
      </c>
      <c r="R162" s="350">
        <f t="shared" si="179"/>
        <v>0</v>
      </c>
      <c r="S162" s="348">
        <f t="shared" si="179"/>
        <v>0</v>
      </c>
      <c r="T162" s="213">
        <f t="shared" si="179"/>
        <v>0</v>
      </c>
      <c r="U162" s="350">
        <f t="shared" si="179"/>
        <v>0</v>
      </c>
      <c r="V162" s="350">
        <f t="shared" si="179"/>
        <v>0</v>
      </c>
      <c r="W162" s="350">
        <f t="shared" si="179"/>
        <v>0</v>
      </c>
      <c r="X162" s="350">
        <f t="shared" si="179"/>
        <v>0</v>
      </c>
      <c r="Y162" s="350">
        <f t="shared" si="179"/>
        <v>0</v>
      </c>
      <c r="Z162" s="350">
        <f t="shared" si="179"/>
        <v>0</v>
      </c>
      <c r="AA162" s="350">
        <f t="shared" si="179"/>
        <v>0</v>
      </c>
      <c r="AB162" s="350">
        <f t="shared" si="179"/>
        <v>0</v>
      </c>
      <c r="AC162" s="350">
        <f t="shared" si="179"/>
        <v>0</v>
      </c>
      <c r="AD162" s="350">
        <f t="shared" si="179"/>
        <v>0</v>
      </c>
      <c r="AE162" s="348">
        <f t="shared" si="179"/>
        <v>0</v>
      </c>
      <c r="AF162" s="213">
        <f t="shared" si="179"/>
        <v>0</v>
      </c>
      <c r="AG162" s="350">
        <f t="shared" si="179"/>
        <v>0</v>
      </c>
      <c r="AH162" s="350">
        <f t="shared" si="179"/>
        <v>0</v>
      </c>
      <c r="AI162" s="350">
        <f t="shared" si="179"/>
        <v>0</v>
      </c>
      <c r="AJ162" s="350">
        <f t="shared" si="179"/>
        <v>0</v>
      </c>
      <c r="AK162" s="350">
        <f t="shared" si="179"/>
        <v>0</v>
      </c>
      <c r="AL162" s="350">
        <f t="shared" si="179"/>
        <v>0</v>
      </c>
      <c r="AM162" s="350">
        <f t="shared" si="179"/>
        <v>0</v>
      </c>
      <c r="AN162" s="350">
        <f t="shared" si="179"/>
        <v>0</v>
      </c>
      <c r="AO162" s="350">
        <f t="shared" si="179"/>
        <v>0</v>
      </c>
      <c r="AP162" s="350">
        <f t="shared" si="179"/>
        <v>0</v>
      </c>
      <c r="AQ162" s="348">
        <f t="shared" si="179"/>
        <v>0</v>
      </c>
    </row>
    <row r="163" spans="2:43" x14ac:dyDescent="0.3">
      <c r="B163" s="318" t="s">
        <v>167</v>
      </c>
      <c r="C163" s="215" t="s">
        <v>10</v>
      </c>
      <c r="D163" s="213" t="s">
        <v>10</v>
      </c>
      <c r="E163" s="350" t="s">
        <v>10</v>
      </c>
      <c r="F163" s="350" t="s">
        <v>10</v>
      </c>
      <c r="G163" s="348" t="s">
        <v>10</v>
      </c>
      <c r="H163" s="213" t="s">
        <v>10</v>
      </c>
      <c r="I163" s="350" t="s">
        <v>10</v>
      </c>
      <c r="J163" s="350" t="s">
        <v>10</v>
      </c>
      <c r="K163" s="350" t="s">
        <v>10</v>
      </c>
      <c r="L163" s="350" t="s">
        <v>10</v>
      </c>
      <c r="M163" s="350" t="s">
        <v>10</v>
      </c>
      <c r="N163" s="350" t="s">
        <v>10</v>
      </c>
      <c r="O163" s="350" t="s">
        <v>10</v>
      </c>
      <c r="P163" s="350" t="s">
        <v>10</v>
      </c>
      <c r="Q163" s="350" t="s">
        <v>10</v>
      </c>
      <c r="R163" s="350" t="s">
        <v>10</v>
      </c>
      <c r="S163" s="348" t="s">
        <v>10</v>
      </c>
      <c r="T163" s="213" t="s">
        <v>10</v>
      </c>
      <c r="U163" s="350" t="s">
        <v>10</v>
      </c>
      <c r="V163" s="350" t="s">
        <v>10</v>
      </c>
      <c r="W163" s="350" t="s">
        <v>10</v>
      </c>
      <c r="X163" s="350" t="s">
        <v>10</v>
      </c>
      <c r="Y163" s="350" t="s">
        <v>10</v>
      </c>
      <c r="Z163" s="350" t="s">
        <v>10</v>
      </c>
      <c r="AA163" s="350" t="s">
        <v>10</v>
      </c>
      <c r="AB163" s="350" t="s">
        <v>10</v>
      </c>
      <c r="AC163" s="350" t="s">
        <v>10</v>
      </c>
      <c r="AD163" s="350" t="s">
        <v>10</v>
      </c>
      <c r="AE163" s="348" t="s">
        <v>10</v>
      </c>
      <c r="AF163" s="213" t="s">
        <v>10</v>
      </c>
      <c r="AG163" s="350" t="s">
        <v>10</v>
      </c>
      <c r="AH163" s="350" t="s">
        <v>10</v>
      </c>
      <c r="AI163" s="350" t="s">
        <v>10</v>
      </c>
      <c r="AJ163" s="350" t="s">
        <v>10</v>
      </c>
      <c r="AK163" s="350" t="s">
        <v>10</v>
      </c>
      <c r="AL163" s="350" t="s">
        <v>10</v>
      </c>
      <c r="AM163" s="350" t="s">
        <v>10</v>
      </c>
      <c r="AN163" s="350" t="s">
        <v>10</v>
      </c>
      <c r="AO163" s="350" t="s">
        <v>10</v>
      </c>
      <c r="AP163" s="350" t="s">
        <v>10</v>
      </c>
      <c r="AQ163" s="348" t="s">
        <v>10</v>
      </c>
    </row>
    <row r="164" spans="2:43" x14ac:dyDescent="0.3">
      <c r="B164" s="128" t="s">
        <v>96</v>
      </c>
      <c r="C164" s="215">
        <f t="shared" si="180"/>
        <v>0.2347653211167775</v>
      </c>
      <c r="D164" s="213">
        <f t="shared" si="179"/>
        <v>0.23486297004461454</v>
      </c>
      <c r="E164" s="350">
        <f t="shared" si="179"/>
        <v>0.23479357075323026</v>
      </c>
      <c r="F164" s="350">
        <f t="shared" si="179"/>
        <v>0.23472568578553621</v>
      </c>
      <c r="G164" s="348">
        <f t="shared" si="179"/>
        <v>0.23472568578553621</v>
      </c>
      <c r="H164" s="213">
        <f t="shared" si="179"/>
        <v>0.23534201954397393</v>
      </c>
      <c r="I164" s="350">
        <f t="shared" si="179"/>
        <v>0.23534715960324615</v>
      </c>
      <c r="J164" s="350">
        <f t="shared" si="179"/>
        <v>0.23534201954397393</v>
      </c>
      <c r="K164" s="350">
        <f t="shared" si="179"/>
        <v>0.2346509671993271</v>
      </c>
      <c r="L164" s="350">
        <f t="shared" si="179"/>
        <v>0.23534201954397393</v>
      </c>
      <c r="M164" s="350">
        <f t="shared" si="179"/>
        <v>0.2346509671993271</v>
      </c>
      <c r="N164" s="350">
        <f t="shared" si="179"/>
        <v>0.23534201954397393</v>
      </c>
      <c r="O164" s="350">
        <f t="shared" si="179"/>
        <v>0.23534201954397393</v>
      </c>
      <c r="P164" s="350">
        <f t="shared" si="179"/>
        <v>0.2346509671993271</v>
      </c>
      <c r="Q164" s="350">
        <f t="shared" si="179"/>
        <v>0.23534201954397393</v>
      </c>
      <c r="R164" s="350">
        <f t="shared" si="179"/>
        <v>0.2346509671993271</v>
      </c>
      <c r="S164" s="348">
        <f t="shared" si="179"/>
        <v>0.23534201954397393</v>
      </c>
      <c r="T164" s="213">
        <f t="shared" si="179"/>
        <v>0.22916666666666674</v>
      </c>
      <c r="U164" s="350">
        <f t="shared" si="179"/>
        <v>0.22916666666666674</v>
      </c>
      <c r="V164" s="350">
        <f t="shared" si="179"/>
        <v>0.22916666666666674</v>
      </c>
      <c r="W164" s="350">
        <f t="shared" si="179"/>
        <v>0.22916666666666674</v>
      </c>
      <c r="X164" s="350">
        <f t="shared" si="179"/>
        <v>0.22916666666666674</v>
      </c>
      <c r="Y164" s="350">
        <f t="shared" si="179"/>
        <v>0.22916666666666674</v>
      </c>
      <c r="Z164" s="350">
        <f t="shared" si="179"/>
        <v>0.22916666666666674</v>
      </c>
      <c r="AA164" s="350">
        <f t="shared" si="179"/>
        <v>0.22916666666666674</v>
      </c>
      <c r="AB164" s="350">
        <f t="shared" si="179"/>
        <v>0.22916666666666674</v>
      </c>
      <c r="AC164" s="350">
        <f t="shared" si="179"/>
        <v>0.22916666666666674</v>
      </c>
      <c r="AD164" s="350">
        <f t="shared" si="179"/>
        <v>0.22916666666666674</v>
      </c>
      <c r="AE164" s="348">
        <f t="shared" si="179"/>
        <v>0.22916666666666674</v>
      </c>
      <c r="AF164" s="213">
        <f t="shared" si="179"/>
        <v>0.22916666666666674</v>
      </c>
      <c r="AG164" s="350">
        <f t="shared" si="179"/>
        <v>0.22916666666666674</v>
      </c>
      <c r="AH164" s="350">
        <f t="shared" si="179"/>
        <v>0.22916666666666674</v>
      </c>
      <c r="AI164" s="350">
        <f t="shared" si="179"/>
        <v>0.22916666666666674</v>
      </c>
      <c r="AJ164" s="350">
        <f t="shared" si="179"/>
        <v>0.22916666666666674</v>
      </c>
      <c r="AK164" s="350">
        <f t="shared" si="179"/>
        <v>0.22916666666666674</v>
      </c>
      <c r="AL164" s="350">
        <f t="shared" si="179"/>
        <v>0.22916666666666674</v>
      </c>
      <c r="AM164" s="350">
        <f t="shared" si="179"/>
        <v>0.22916666666666674</v>
      </c>
      <c r="AN164" s="350">
        <f t="shared" si="179"/>
        <v>0.22916666666666674</v>
      </c>
      <c r="AO164" s="350">
        <f t="shared" si="179"/>
        <v>0.22916666666666674</v>
      </c>
      <c r="AP164" s="350">
        <f t="shared" si="179"/>
        <v>0.22916666666666674</v>
      </c>
      <c r="AQ164" s="348">
        <f t="shared" si="179"/>
        <v>0.22916666666666674</v>
      </c>
    </row>
    <row r="165" spans="2:43" x14ac:dyDescent="0.3">
      <c r="B165" s="128" t="s">
        <v>97</v>
      </c>
      <c r="C165" s="215">
        <f t="shared" si="180"/>
        <v>0.16557161629434969</v>
      </c>
      <c r="D165" s="213">
        <f t="shared" si="179"/>
        <v>0.16532618409294009</v>
      </c>
      <c r="E165" s="350">
        <f t="shared" si="179"/>
        <v>0.16613418530351431</v>
      </c>
      <c r="F165" s="350">
        <f t="shared" si="179"/>
        <v>0.16577540106951871</v>
      </c>
      <c r="G165" s="348">
        <f t="shared" si="179"/>
        <v>0.16561314791403303</v>
      </c>
      <c r="H165" s="213">
        <f t="shared" si="179"/>
        <v>0.16561181434599148</v>
      </c>
      <c r="I165" s="350">
        <f t="shared" si="179"/>
        <v>0.16535433070866157</v>
      </c>
      <c r="J165" s="350">
        <f t="shared" si="179"/>
        <v>0.16582406471183009</v>
      </c>
      <c r="K165" s="350">
        <f t="shared" si="179"/>
        <v>0.16546762589928066</v>
      </c>
      <c r="L165" s="350">
        <f t="shared" si="179"/>
        <v>0.16618075801749255</v>
      </c>
      <c r="M165" s="350">
        <f t="shared" si="179"/>
        <v>0.16393442622950816</v>
      </c>
      <c r="N165" s="350">
        <f t="shared" si="179"/>
        <v>0.16799999999999993</v>
      </c>
      <c r="O165" s="350">
        <f t="shared" si="179"/>
        <v>0.16410256410256419</v>
      </c>
      <c r="P165" s="350">
        <f t="shared" si="179"/>
        <v>0.16490486257928105</v>
      </c>
      <c r="Q165" s="350">
        <f t="shared" si="179"/>
        <v>0.1653160453808753</v>
      </c>
      <c r="R165" s="350">
        <f t="shared" si="179"/>
        <v>0.1651090342679129</v>
      </c>
      <c r="S165" s="348">
        <f t="shared" si="179"/>
        <v>0.16563467492260076</v>
      </c>
      <c r="T165" s="213">
        <f t="shared" si="179"/>
        <v>0.16393442622950816</v>
      </c>
      <c r="U165" s="350">
        <f t="shared" si="179"/>
        <v>0.16666666666666652</v>
      </c>
      <c r="V165" s="350">
        <f t="shared" si="179"/>
        <v>0.15625</v>
      </c>
      <c r="W165" s="350">
        <f t="shared" si="179"/>
        <v>0.14285714285714279</v>
      </c>
      <c r="X165" s="350">
        <f t="shared" si="179"/>
        <v>0.18181818181818188</v>
      </c>
      <c r="Y165" s="350">
        <f t="shared" si="179"/>
        <v>0.16666666666666674</v>
      </c>
      <c r="Z165" s="350">
        <f t="shared" si="179"/>
        <v>0.1875</v>
      </c>
      <c r="AA165" s="350">
        <f t="shared" si="179"/>
        <v>0.15999999999999992</v>
      </c>
      <c r="AB165" s="350">
        <f t="shared" si="179"/>
        <v>0.15625</v>
      </c>
      <c r="AC165" s="350">
        <f t="shared" si="179"/>
        <v>0.14999999999999991</v>
      </c>
      <c r="AD165" s="350">
        <f t="shared" si="179"/>
        <v>0.16279069767441867</v>
      </c>
      <c r="AE165" s="348">
        <f t="shared" si="179"/>
        <v>0.16666666666666674</v>
      </c>
      <c r="AF165" s="213">
        <f t="shared" si="179"/>
        <v>0.16393442622950816</v>
      </c>
      <c r="AG165" s="350">
        <f t="shared" si="179"/>
        <v>0.16666666666666652</v>
      </c>
      <c r="AH165" s="350">
        <f t="shared" si="179"/>
        <v>0.15625</v>
      </c>
      <c r="AI165" s="350">
        <f t="shared" si="179"/>
        <v>0.14285714285714279</v>
      </c>
      <c r="AJ165" s="350">
        <f t="shared" si="179"/>
        <v>0.18181818181818188</v>
      </c>
      <c r="AK165" s="350">
        <f t="shared" si="179"/>
        <v>0.16666666666666674</v>
      </c>
      <c r="AL165" s="350">
        <f t="shared" si="179"/>
        <v>0.1875</v>
      </c>
      <c r="AM165" s="350">
        <f t="shared" si="179"/>
        <v>0.15999999999999992</v>
      </c>
      <c r="AN165" s="350">
        <f t="shared" si="179"/>
        <v>0.15625</v>
      </c>
      <c r="AO165" s="350">
        <f t="shared" si="179"/>
        <v>0.14999999999999991</v>
      </c>
      <c r="AP165" s="350">
        <f t="shared" si="179"/>
        <v>0.16279069767441867</v>
      </c>
      <c r="AQ165" s="348">
        <f t="shared" si="179"/>
        <v>0.16666666666666674</v>
      </c>
    </row>
    <row r="166" spans="2:43" x14ac:dyDescent="0.3">
      <c r="B166" s="318" t="s">
        <v>168</v>
      </c>
      <c r="C166" s="215" t="s">
        <v>10</v>
      </c>
      <c r="D166" s="213" t="s">
        <v>10</v>
      </c>
      <c r="E166" s="350" t="s">
        <v>10</v>
      </c>
      <c r="F166" s="350" t="s">
        <v>10</v>
      </c>
      <c r="G166" s="348" t="s">
        <v>10</v>
      </c>
      <c r="H166" s="213" t="s">
        <v>10</v>
      </c>
      <c r="I166" s="350" t="s">
        <v>10</v>
      </c>
      <c r="J166" s="350" t="s">
        <v>10</v>
      </c>
      <c r="K166" s="350" t="s">
        <v>10</v>
      </c>
      <c r="L166" s="350" t="s">
        <v>10</v>
      </c>
      <c r="M166" s="350" t="s">
        <v>10</v>
      </c>
      <c r="N166" s="350" t="s">
        <v>10</v>
      </c>
      <c r="O166" s="350" t="s">
        <v>10</v>
      </c>
      <c r="P166" s="350" t="s">
        <v>10</v>
      </c>
      <c r="Q166" s="350" t="s">
        <v>10</v>
      </c>
      <c r="R166" s="350" t="s">
        <v>10</v>
      </c>
      <c r="S166" s="348" t="s">
        <v>10</v>
      </c>
      <c r="T166" s="213" t="s">
        <v>10</v>
      </c>
      <c r="U166" s="350" t="s">
        <v>10</v>
      </c>
      <c r="V166" s="350" t="s">
        <v>10</v>
      </c>
      <c r="W166" s="350" t="s">
        <v>10</v>
      </c>
      <c r="X166" s="350" t="s">
        <v>10</v>
      </c>
      <c r="Y166" s="350" t="s">
        <v>10</v>
      </c>
      <c r="Z166" s="350" t="s">
        <v>10</v>
      </c>
      <c r="AA166" s="350" t="s">
        <v>10</v>
      </c>
      <c r="AB166" s="350" t="s">
        <v>10</v>
      </c>
      <c r="AC166" s="350" t="s">
        <v>10</v>
      </c>
      <c r="AD166" s="350" t="s">
        <v>10</v>
      </c>
      <c r="AE166" s="348" t="s">
        <v>10</v>
      </c>
      <c r="AF166" s="213" t="s">
        <v>10</v>
      </c>
      <c r="AG166" s="350" t="s">
        <v>10</v>
      </c>
      <c r="AH166" s="350" t="s">
        <v>10</v>
      </c>
      <c r="AI166" s="350" t="s">
        <v>10</v>
      </c>
      <c r="AJ166" s="350" t="s">
        <v>10</v>
      </c>
      <c r="AK166" s="350" t="s">
        <v>10</v>
      </c>
      <c r="AL166" s="350" t="s">
        <v>10</v>
      </c>
      <c r="AM166" s="350" t="s">
        <v>10</v>
      </c>
      <c r="AN166" s="350" t="s">
        <v>10</v>
      </c>
      <c r="AO166" s="350" t="s">
        <v>10</v>
      </c>
      <c r="AP166" s="350" t="s">
        <v>10</v>
      </c>
      <c r="AQ166" s="348" t="s">
        <v>10</v>
      </c>
    </row>
    <row r="167" spans="2:43" ht="15" thickBot="1" x14ac:dyDescent="0.35">
      <c r="B167" s="210" t="s">
        <v>98</v>
      </c>
      <c r="C167" s="355">
        <f>ROUND(C112,2)/ROUND(C95,2)-1</f>
        <v>0.2347653211167775</v>
      </c>
      <c r="D167" s="356">
        <f t="shared" si="179"/>
        <v>0.23485891259463187</v>
      </c>
      <c r="E167" s="357">
        <f t="shared" si="179"/>
        <v>0.2345916795069336</v>
      </c>
      <c r="F167" s="357">
        <f t="shared" si="179"/>
        <v>0.23484365028717313</v>
      </c>
      <c r="G167" s="358">
        <f t="shared" si="179"/>
        <v>0.23476501011918138</v>
      </c>
      <c r="H167" s="356">
        <f t="shared" si="179"/>
        <v>0.23486430062630492</v>
      </c>
      <c r="I167" s="357">
        <f t="shared" si="179"/>
        <v>0.23456790123456783</v>
      </c>
      <c r="J167" s="357">
        <f t="shared" si="179"/>
        <v>0.23442547300415306</v>
      </c>
      <c r="K167" s="357">
        <f t="shared" si="179"/>
        <v>0.23448831587429497</v>
      </c>
      <c r="L167" s="357">
        <f t="shared" si="179"/>
        <v>0.23449612403100772</v>
      </c>
      <c r="M167" s="357">
        <f t="shared" si="179"/>
        <v>0.23481308411214941</v>
      </c>
      <c r="N167" s="357">
        <f t="shared" si="179"/>
        <v>0.23498694516971286</v>
      </c>
      <c r="O167" s="357">
        <f t="shared" si="179"/>
        <v>0.23366834170854278</v>
      </c>
      <c r="P167" s="357">
        <f t="shared" si="179"/>
        <v>0.23497267759562845</v>
      </c>
      <c r="Q167" s="357">
        <f t="shared" si="179"/>
        <v>0.23429648241206014</v>
      </c>
      <c r="R167" s="357">
        <f t="shared" si="179"/>
        <v>0.23422897196261672</v>
      </c>
      <c r="S167" s="358">
        <f>ROUND(S112,2)/ROUND(S95,2)-1</f>
        <v>0.23476968796433861</v>
      </c>
      <c r="T167" s="356">
        <f t="shared" si="179"/>
        <v>0.23783783783783785</v>
      </c>
      <c r="U167" s="357">
        <f t="shared" si="179"/>
        <v>0.23021582733812962</v>
      </c>
      <c r="V167" s="357">
        <f t="shared" si="179"/>
        <v>0.23571428571428577</v>
      </c>
      <c r="W167" s="357">
        <f t="shared" si="179"/>
        <v>0.22891566265060259</v>
      </c>
      <c r="X167" s="357">
        <f t="shared" si="179"/>
        <v>0.22388059701492513</v>
      </c>
      <c r="Y167" s="357">
        <f t="shared" si="179"/>
        <v>0.22807017543859653</v>
      </c>
      <c r="Z167" s="357">
        <f t="shared" si="179"/>
        <v>0.24</v>
      </c>
      <c r="AA167" s="357">
        <f t="shared" si="179"/>
        <v>0.23076923076923084</v>
      </c>
      <c r="AB167" s="357">
        <f t="shared" si="179"/>
        <v>0.23287671232876717</v>
      </c>
      <c r="AC167" s="357">
        <f t="shared" si="179"/>
        <v>0.23300970873786397</v>
      </c>
      <c r="AD167" s="357">
        <f t="shared" si="179"/>
        <v>0.23684210526315796</v>
      </c>
      <c r="AE167" s="358">
        <f t="shared" si="179"/>
        <v>0.2384615384615385</v>
      </c>
      <c r="AF167" s="356">
        <f t="shared" si="179"/>
        <v>0.23783783783783785</v>
      </c>
      <c r="AG167" s="357">
        <f t="shared" si="179"/>
        <v>0.23021582733812962</v>
      </c>
      <c r="AH167" s="357">
        <f t="shared" ref="AH167:AQ167" si="181">ROUND(AH112,2)/ROUND(AH95,2)-1</f>
        <v>0.23571428571428577</v>
      </c>
      <c r="AI167" s="357">
        <f t="shared" si="181"/>
        <v>0.22891566265060259</v>
      </c>
      <c r="AJ167" s="357">
        <f t="shared" si="181"/>
        <v>0.22388059701492513</v>
      </c>
      <c r="AK167" s="357">
        <f t="shared" si="181"/>
        <v>0.22807017543859653</v>
      </c>
      <c r="AL167" s="357">
        <f t="shared" si="181"/>
        <v>0.24</v>
      </c>
      <c r="AM167" s="357">
        <f t="shared" si="181"/>
        <v>0.23076923076923084</v>
      </c>
      <c r="AN167" s="357">
        <f t="shared" si="181"/>
        <v>0.23287671232876717</v>
      </c>
      <c r="AO167" s="357">
        <f t="shared" si="181"/>
        <v>0.23300970873786397</v>
      </c>
      <c r="AP167" s="357">
        <f t="shared" si="181"/>
        <v>0.23684210526315796</v>
      </c>
      <c r="AQ167" s="358">
        <f t="shared" si="181"/>
        <v>0.2384615384615385</v>
      </c>
    </row>
    <row r="168" spans="2:43" ht="15.6" x14ac:dyDescent="0.3">
      <c r="B168" s="419" t="s">
        <v>177</v>
      </c>
      <c r="C168" s="420"/>
      <c r="D168" s="420"/>
      <c r="E168" s="420"/>
      <c r="F168" s="420"/>
      <c r="G168" s="420"/>
      <c r="H168" s="420"/>
      <c r="I168" s="420"/>
      <c r="J168" s="420"/>
      <c r="K168" s="420"/>
      <c r="L168" s="420"/>
      <c r="M168" s="420"/>
      <c r="N168" s="420"/>
      <c r="O168" s="420"/>
      <c r="P168" s="420"/>
      <c r="Q168" s="420"/>
      <c r="R168" s="420"/>
      <c r="S168" s="420"/>
      <c r="T168" s="420"/>
      <c r="U168" s="420"/>
      <c r="V168" s="420"/>
      <c r="W168" s="420"/>
      <c r="X168" s="420"/>
      <c r="Y168" s="420"/>
      <c r="Z168" s="420"/>
      <c r="AA168" s="420"/>
      <c r="AB168" s="420"/>
      <c r="AC168" s="420"/>
      <c r="AD168" s="420"/>
      <c r="AE168" s="420"/>
      <c r="AF168" s="420"/>
      <c r="AG168" s="420"/>
      <c r="AH168" s="420"/>
      <c r="AI168" s="420"/>
      <c r="AJ168" s="420"/>
      <c r="AK168" s="420"/>
      <c r="AL168" s="420"/>
      <c r="AM168" s="420"/>
      <c r="AN168" s="420"/>
      <c r="AO168" s="420"/>
      <c r="AP168" s="420"/>
      <c r="AQ168" s="420"/>
    </row>
    <row r="169" spans="2:43" x14ac:dyDescent="0.3">
      <c r="B169" s="132"/>
      <c r="C169" s="396" t="s">
        <v>84</v>
      </c>
      <c r="D169" s="399" t="s">
        <v>82</v>
      </c>
      <c r="E169" s="399"/>
      <c r="F169" s="399"/>
      <c r="G169" s="400"/>
      <c r="H169" s="399" t="s">
        <v>83</v>
      </c>
      <c r="I169" s="399"/>
      <c r="J169" s="399"/>
      <c r="K169" s="399"/>
      <c r="L169" s="399"/>
      <c r="M169" s="399"/>
      <c r="N169" s="399"/>
      <c r="O169" s="399"/>
      <c r="P169" s="399"/>
      <c r="Q169" s="399"/>
      <c r="R169" s="399"/>
      <c r="S169" s="400"/>
      <c r="T169" s="399" t="s">
        <v>91</v>
      </c>
      <c r="U169" s="399"/>
      <c r="V169" s="399"/>
      <c r="W169" s="399"/>
      <c r="X169" s="399"/>
      <c r="Y169" s="399"/>
      <c r="Z169" s="399"/>
      <c r="AA169" s="399"/>
      <c r="AB169" s="399"/>
      <c r="AC169" s="399"/>
      <c r="AD169" s="399"/>
      <c r="AE169" s="401"/>
      <c r="AF169" s="402" t="s">
        <v>92</v>
      </c>
      <c r="AG169" s="399"/>
      <c r="AH169" s="399"/>
      <c r="AI169" s="399"/>
      <c r="AJ169" s="399"/>
      <c r="AK169" s="399"/>
      <c r="AL169" s="399"/>
      <c r="AM169" s="399"/>
      <c r="AN169" s="399"/>
      <c r="AO169" s="399"/>
      <c r="AP169" s="399"/>
      <c r="AQ169" s="401"/>
    </row>
    <row r="170" spans="2:43" x14ac:dyDescent="0.3">
      <c r="B170" s="125"/>
      <c r="C170" s="397"/>
      <c r="D170" s="317" t="s">
        <v>39</v>
      </c>
      <c r="E170" s="349" t="s">
        <v>40</v>
      </c>
      <c r="F170" s="349" t="s">
        <v>41</v>
      </c>
      <c r="G170" s="240" t="s">
        <v>42</v>
      </c>
      <c r="H170" s="317" t="s">
        <v>24</v>
      </c>
      <c r="I170" s="349" t="s">
        <v>25</v>
      </c>
      <c r="J170" s="349" t="s">
        <v>26</v>
      </c>
      <c r="K170" s="349" t="s">
        <v>27</v>
      </c>
      <c r="L170" s="349" t="s">
        <v>17</v>
      </c>
      <c r="M170" s="349" t="s">
        <v>28</v>
      </c>
      <c r="N170" s="349" t="s">
        <v>29</v>
      </c>
      <c r="O170" s="349" t="s">
        <v>30</v>
      </c>
      <c r="P170" s="349" t="s">
        <v>31</v>
      </c>
      <c r="Q170" s="349" t="s">
        <v>32</v>
      </c>
      <c r="R170" s="349" t="s">
        <v>33</v>
      </c>
      <c r="S170" s="240" t="s">
        <v>34</v>
      </c>
      <c r="T170" s="317" t="s">
        <v>24</v>
      </c>
      <c r="U170" s="349" t="s">
        <v>25</v>
      </c>
      <c r="V170" s="349" t="s">
        <v>26</v>
      </c>
      <c r="W170" s="349" t="s">
        <v>27</v>
      </c>
      <c r="X170" s="349" t="s">
        <v>17</v>
      </c>
      <c r="Y170" s="349" t="s">
        <v>28</v>
      </c>
      <c r="Z170" s="349" t="s">
        <v>29</v>
      </c>
      <c r="AA170" s="349" t="s">
        <v>30</v>
      </c>
      <c r="AB170" s="349" t="s">
        <v>31</v>
      </c>
      <c r="AC170" s="349" t="s">
        <v>32</v>
      </c>
      <c r="AD170" s="349" t="s">
        <v>33</v>
      </c>
      <c r="AE170" s="316" t="s">
        <v>34</v>
      </c>
      <c r="AF170" s="218" t="s">
        <v>24</v>
      </c>
      <c r="AG170" s="349" t="s">
        <v>25</v>
      </c>
      <c r="AH170" s="349" t="s">
        <v>26</v>
      </c>
      <c r="AI170" s="349" t="s">
        <v>27</v>
      </c>
      <c r="AJ170" s="349" t="s">
        <v>17</v>
      </c>
      <c r="AK170" s="349" t="s">
        <v>28</v>
      </c>
      <c r="AL170" s="349" t="s">
        <v>29</v>
      </c>
      <c r="AM170" s="349" t="s">
        <v>30</v>
      </c>
      <c r="AN170" s="349" t="s">
        <v>31</v>
      </c>
      <c r="AO170" s="349" t="s">
        <v>32</v>
      </c>
      <c r="AP170" s="349" t="s">
        <v>33</v>
      </c>
      <c r="AQ170" s="126" t="s">
        <v>34</v>
      </c>
    </row>
    <row r="171" spans="2:43" x14ac:dyDescent="0.3">
      <c r="B171" s="128" t="s">
        <v>93</v>
      </c>
      <c r="C171" s="215">
        <f>ROUND(C121,2)/ROUND(C104,2)-1</f>
        <v>0</v>
      </c>
      <c r="D171" s="213">
        <f t="shared" ref="D171:AQ177" si="182">ROUND(D121,2)/ROUND(D104,2)-1</f>
        <v>0</v>
      </c>
      <c r="E171" s="350">
        <f t="shared" si="182"/>
        <v>0</v>
      </c>
      <c r="F171" s="350">
        <f t="shared" si="182"/>
        <v>0</v>
      </c>
      <c r="G171" s="348">
        <f t="shared" si="182"/>
        <v>0</v>
      </c>
      <c r="H171" s="213">
        <f t="shared" si="182"/>
        <v>0</v>
      </c>
      <c r="I171" s="350">
        <f t="shared" si="182"/>
        <v>0</v>
      </c>
      <c r="J171" s="350">
        <f t="shared" si="182"/>
        <v>0</v>
      </c>
      <c r="K171" s="350">
        <f t="shared" si="182"/>
        <v>0</v>
      </c>
      <c r="L171" s="350">
        <f t="shared" si="182"/>
        <v>0</v>
      </c>
      <c r="M171" s="350">
        <f t="shared" si="182"/>
        <v>0</v>
      </c>
      <c r="N171" s="350">
        <f t="shared" si="182"/>
        <v>0</v>
      </c>
      <c r="O171" s="350">
        <f t="shared" si="182"/>
        <v>0</v>
      </c>
      <c r="P171" s="350">
        <f t="shared" si="182"/>
        <v>0</v>
      </c>
      <c r="Q171" s="350">
        <f t="shared" si="182"/>
        <v>0</v>
      </c>
      <c r="R171" s="350">
        <f t="shared" si="182"/>
        <v>0</v>
      </c>
      <c r="S171" s="348">
        <f t="shared" si="182"/>
        <v>0</v>
      </c>
      <c r="T171" s="213">
        <f t="shared" si="182"/>
        <v>0</v>
      </c>
      <c r="U171" s="350">
        <f t="shared" si="182"/>
        <v>0</v>
      </c>
      <c r="V171" s="350">
        <f t="shared" si="182"/>
        <v>0</v>
      </c>
      <c r="W171" s="350">
        <f t="shared" si="182"/>
        <v>0</v>
      </c>
      <c r="X171" s="350">
        <f t="shared" si="182"/>
        <v>0</v>
      </c>
      <c r="Y171" s="350">
        <f t="shared" si="182"/>
        <v>0</v>
      </c>
      <c r="Z171" s="350">
        <f t="shared" si="182"/>
        <v>0</v>
      </c>
      <c r="AA171" s="350">
        <f t="shared" si="182"/>
        <v>0</v>
      </c>
      <c r="AB171" s="350">
        <f t="shared" si="182"/>
        <v>0</v>
      </c>
      <c r="AC171" s="350">
        <f t="shared" si="182"/>
        <v>0</v>
      </c>
      <c r="AD171" s="350">
        <f t="shared" si="182"/>
        <v>0</v>
      </c>
      <c r="AE171" s="348">
        <f t="shared" si="182"/>
        <v>0</v>
      </c>
      <c r="AF171" s="213">
        <f t="shared" si="182"/>
        <v>0</v>
      </c>
      <c r="AG171" s="350">
        <f t="shared" si="182"/>
        <v>0</v>
      </c>
      <c r="AH171" s="350">
        <f t="shared" si="182"/>
        <v>0</v>
      </c>
      <c r="AI171" s="350">
        <f t="shared" si="182"/>
        <v>0</v>
      </c>
      <c r="AJ171" s="350">
        <f t="shared" si="182"/>
        <v>0</v>
      </c>
      <c r="AK171" s="350">
        <f t="shared" si="182"/>
        <v>0</v>
      </c>
      <c r="AL171" s="350">
        <f t="shared" si="182"/>
        <v>0</v>
      </c>
      <c r="AM171" s="350">
        <f t="shared" si="182"/>
        <v>0</v>
      </c>
      <c r="AN171" s="350">
        <f t="shared" si="182"/>
        <v>0</v>
      </c>
      <c r="AO171" s="350">
        <f t="shared" si="182"/>
        <v>0</v>
      </c>
      <c r="AP171" s="350">
        <f t="shared" si="182"/>
        <v>0</v>
      </c>
      <c r="AQ171" s="348">
        <f t="shared" si="182"/>
        <v>0</v>
      </c>
    </row>
    <row r="172" spans="2:43" x14ac:dyDescent="0.3">
      <c r="B172" s="128" t="s">
        <v>138</v>
      </c>
      <c r="C172" s="215">
        <f t="shared" ref="C172:R178" si="183">ROUND(C122,2)/ROUND(C105,2)-1</f>
        <v>2.3939808481532321E-3</v>
      </c>
      <c r="D172" s="213">
        <f t="shared" si="183"/>
        <v>2.5220680958386588E-3</v>
      </c>
      <c r="E172" s="350">
        <f t="shared" si="183"/>
        <v>2.4937655860348684E-3</v>
      </c>
      <c r="F172" s="350">
        <f t="shared" si="183"/>
        <v>2.4660912453762229E-3</v>
      </c>
      <c r="G172" s="348">
        <f t="shared" si="183"/>
        <v>2.4660912453762229E-3</v>
      </c>
      <c r="H172" s="213">
        <f t="shared" si="183"/>
        <v>3.225806451612856E-3</v>
      </c>
      <c r="I172" s="350">
        <f t="shared" si="183"/>
        <v>3.5714285714285587E-3</v>
      </c>
      <c r="J172" s="350">
        <f t="shared" si="183"/>
        <v>3.225806451612856E-3</v>
      </c>
      <c r="K172" s="350">
        <f t="shared" si="183"/>
        <v>3.3333333333331883E-3</v>
      </c>
      <c r="L172" s="350">
        <f t="shared" si="183"/>
        <v>3.225806451612856E-3</v>
      </c>
      <c r="M172" s="350">
        <f t="shared" si="183"/>
        <v>3.3333333333331883E-3</v>
      </c>
      <c r="N172" s="350">
        <f t="shared" si="183"/>
        <v>3.225806451612856E-3</v>
      </c>
      <c r="O172" s="350">
        <f t="shared" si="183"/>
        <v>3.225806451612856E-3</v>
      </c>
      <c r="P172" s="350">
        <f t="shared" si="183"/>
        <v>3.3333333333331883E-3</v>
      </c>
      <c r="Q172" s="350">
        <f t="shared" si="183"/>
        <v>3.225806451612856E-3</v>
      </c>
      <c r="R172" s="350">
        <f t="shared" si="183"/>
        <v>3.3333333333331883E-3</v>
      </c>
      <c r="S172" s="348">
        <f t="shared" si="182"/>
        <v>3.225806451612856E-3</v>
      </c>
      <c r="T172" s="213">
        <f t="shared" si="182"/>
        <v>0</v>
      </c>
      <c r="U172" s="350">
        <f t="shared" si="182"/>
        <v>0</v>
      </c>
      <c r="V172" s="350">
        <f t="shared" si="182"/>
        <v>0</v>
      </c>
      <c r="W172" s="350">
        <f t="shared" si="182"/>
        <v>0</v>
      </c>
      <c r="X172" s="350">
        <f t="shared" si="182"/>
        <v>0</v>
      </c>
      <c r="Y172" s="350">
        <f t="shared" si="182"/>
        <v>0</v>
      </c>
      <c r="Z172" s="350">
        <f t="shared" si="182"/>
        <v>0</v>
      </c>
      <c r="AA172" s="350">
        <f t="shared" si="182"/>
        <v>0</v>
      </c>
      <c r="AB172" s="350">
        <f t="shared" si="182"/>
        <v>0</v>
      </c>
      <c r="AC172" s="350">
        <f t="shared" si="182"/>
        <v>0</v>
      </c>
      <c r="AD172" s="350">
        <f t="shared" si="182"/>
        <v>0</v>
      </c>
      <c r="AE172" s="348">
        <f t="shared" si="182"/>
        <v>0</v>
      </c>
      <c r="AF172" s="213">
        <f t="shared" si="182"/>
        <v>0</v>
      </c>
      <c r="AG172" s="350">
        <f t="shared" si="182"/>
        <v>0</v>
      </c>
      <c r="AH172" s="350">
        <f t="shared" si="182"/>
        <v>0</v>
      </c>
      <c r="AI172" s="350">
        <f t="shared" si="182"/>
        <v>0</v>
      </c>
      <c r="AJ172" s="350">
        <f t="shared" si="182"/>
        <v>0</v>
      </c>
      <c r="AK172" s="350">
        <f t="shared" si="182"/>
        <v>0</v>
      </c>
      <c r="AL172" s="350">
        <f t="shared" si="182"/>
        <v>0</v>
      </c>
      <c r="AM172" s="350">
        <f t="shared" si="182"/>
        <v>0</v>
      </c>
      <c r="AN172" s="350">
        <f t="shared" si="182"/>
        <v>0</v>
      </c>
      <c r="AO172" s="350">
        <f t="shared" si="182"/>
        <v>0</v>
      </c>
      <c r="AP172" s="350">
        <f t="shared" si="182"/>
        <v>0</v>
      </c>
      <c r="AQ172" s="348">
        <f t="shared" si="182"/>
        <v>0</v>
      </c>
    </row>
    <row r="173" spans="2:43" x14ac:dyDescent="0.3">
      <c r="B173" s="128" t="s">
        <v>94</v>
      </c>
      <c r="C173" s="215">
        <f t="shared" si="183"/>
        <v>0</v>
      </c>
      <c r="D173" s="213">
        <f t="shared" si="182"/>
        <v>0</v>
      </c>
      <c r="E173" s="350">
        <f t="shared" si="182"/>
        <v>0</v>
      </c>
      <c r="F173" s="350">
        <f t="shared" si="182"/>
        <v>0</v>
      </c>
      <c r="G173" s="348">
        <f t="shared" si="182"/>
        <v>0</v>
      </c>
      <c r="H173" s="213">
        <f t="shared" si="182"/>
        <v>0</v>
      </c>
      <c r="I173" s="350">
        <f t="shared" si="182"/>
        <v>0</v>
      </c>
      <c r="J173" s="350">
        <f t="shared" si="182"/>
        <v>0</v>
      </c>
      <c r="K173" s="350">
        <f t="shared" si="182"/>
        <v>0</v>
      </c>
      <c r="L173" s="350">
        <f t="shared" si="182"/>
        <v>0</v>
      </c>
      <c r="M173" s="350">
        <f t="shared" si="182"/>
        <v>0</v>
      </c>
      <c r="N173" s="350">
        <f t="shared" si="182"/>
        <v>0</v>
      </c>
      <c r="O173" s="350">
        <f t="shared" si="182"/>
        <v>0</v>
      </c>
      <c r="P173" s="350">
        <f t="shared" si="182"/>
        <v>0</v>
      </c>
      <c r="Q173" s="350">
        <f t="shared" si="182"/>
        <v>0</v>
      </c>
      <c r="R173" s="350">
        <f t="shared" si="182"/>
        <v>0</v>
      </c>
      <c r="S173" s="348">
        <f t="shared" si="182"/>
        <v>0</v>
      </c>
      <c r="T173" s="213">
        <f t="shared" si="182"/>
        <v>0</v>
      </c>
      <c r="U173" s="350">
        <f t="shared" si="182"/>
        <v>0</v>
      </c>
      <c r="V173" s="350">
        <f t="shared" si="182"/>
        <v>0</v>
      </c>
      <c r="W173" s="350">
        <f t="shared" si="182"/>
        <v>0</v>
      </c>
      <c r="X173" s="350">
        <f t="shared" si="182"/>
        <v>0</v>
      </c>
      <c r="Y173" s="350">
        <f t="shared" si="182"/>
        <v>0</v>
      </c>
      <c r="Z173" s="350">
        <f t="shared" si="182"/>
        <v>0</v>
      </c>
      <c r="AA173" s="350">
        <f t="shared" si="182"/>
        <v>0</v>
      </c>
      <c r="AB173" s="350">
        <f t="shared" si="182"/>
        <v>0</v>
      </c>
      <c r="AC173" s="350">
        <f t="shared" si="182"/>
        <v>0</v>
      </c>
      <c r="AD173" s="350">
        <f t="shared" si="182"/>
        <v>0</v>
      </c>
      <c r="AE173" s="348">
        <f t="shared" si="182"/>
        <v>0</v>
      </c>
      <c r="AF173" s="213">
        <f t="shared" si="182"/>
        <v>0</v>
      </c>
      <c r="AG173" s="350">
        <f t="shared" si="182"/>
        <v>0</v>
      </c>
      <c r="AH173" s="350">
        <f t="shared" si="182"/>
        <v>0</v>
      </c>
      <c r="AI173" s="350">
        <f t="shared" si="182"/>
        <v>0</v>
      </c>
      <c r="AJ173" s="350">
        <f t="shared" si="182"/>
        <v>0</v>
      </c>
      <c r="AK173" s="350">
        <f t="shared" si="182"/>
        <v>0</v>
      </c>
      <c r="AL173" s="350">
        <f t="shared" si="182"/>
        <v>0</v>
      </c>
      <c r="AM173" s="350">
        <f t="shared" si="182"/>
        <v>0</v>
      </c>
      <c r="AN173" s="350">
        <f t="shared" si="182"/>
        <v>0</v>
      </c>
      <c r="AO173" s="350">
        <f t="shared" si="182"/>
        <v>0</v>
      </c>
      <c r="AP173" s="350">
        <f t="shared" si="182"/>
        <v>0</v>
      </c>
      <c r="AQ173" s="348">
        <f t="shared" si="182"/>
        <v>0</v>
      </c>
    </row>
    <row r="174" spans="2:43" x14ac:dyDescent="0.3">
      <c r="B174" s="128" t="s">
        <v>95</v>
      </c>
      <c r="C174" s="215">
        <f t="shared" si="183"/>
        <v>0</v>
      </c>
      <c r="D174" s="213">
        <f t="shared" si="182"/>
        <v>0</v>
      </c>
      <c r="E174" s="350">
        <f t="shared" si="182"/>
        <v>0</v>
      </c>
      <c r="F174" s="350">
        <f t="shared" si="182"/>
        <v>0</v>
      </c>
      <c r="G174" s="348">
        <f t="shared" si="182"/>
        <v>0</v>
      </c>
      <c r="H174" s="213">
        <f t="shared" si="182"/>
        <v>0</v>
      </c>
      <c r="I174" s="350">
        <f t="shared" si="182"/>
        <v>0</v>
      </c>
      <c r="J174" s="350">
        <f t="shared" si="182"/>
        <v>0</v>
      </c>
      <c r="K174" s="350">
        <f t="shared" si="182"/>
        <v>0</v>
      </c>
      <c r="L174" s="350">
        <f t="shared" si="182"/>
        <v>0</v>
      </c>
      <c r="M174" s="350">
        <f t="shared" si="182"/>
        <v>0</v>
      </c>
      <c r="N174" s="350">
        <f t="shared" si="182"/>
        <v>0</v>
      </c>
      <c r="O174" s="350">
        <f t="shared" si="182"/>
        <v>0</v>
      </c>
      <c r="P174" s="350">
        <f t="shared" si="182"/>
        <v>0</v>
      </c>
      <c r="Q174" s="350">
        <f t="shared" si="182"/>
        <v>0</v>
      </c>
      <c r="R174" s="350">
        <f t="shared" si="182"/>
        <v>0</v>
      </c>
      <c r="S174" s="348">
        <f t="shared" si="182"/>
        <v>0</v>
      </c>
      <c r="T174" s="213">
        <f t="shared" si="182"/>
        <v>0</v>
      </c>
      <c r="U174" s="350">
        <f t="shared" si="182"/>
        <v>0</v>
      </c>
      <c r="V174" s="350">
        <f t="shared" si="182"/>
        <v>0</v>
      </c>
      <c r="W174" s="350">
        <f t="shared" si="182"/>
        <v>0</v>
      </c>
      <c r="X174" s="350">
        <f t="shared" si="182"/>
        <v>0</v>
      </c>
      <c r="Y174" s="350">
        <f t="shared" si="182"/>
        <v>0</v>
      </c>
      <c r="Z174" s="350">
        <f t="shared" si="182"/>
        <v>0</v>
      </c>
      <c r="AA174" s="350">
        <f t="shared" si="182"/>
        <v>0</v>
      </c>
      <c r="AB174" s="350">
        <f t="shared" si="182"/>
        <v>0</v>
      </c>
      <c r="AC174" s="350">
        <f t="shared" si="182"/>
        <v>0</v>
      </c>
      <c r="AD174" s="350">
        <f t="shared" si="182"/>
        <v>0</v>
      </c>
      <c r="AE174" s="348">
        <f t="shared" si="182"/>
        <v>0</v>
      </c>
      <c r="AF174" s="213">
        <f t="shared" si="182"/>
        <v>0</v>
      </c>
      <c r="AG174" s="350">
        <f t="shared" si="182"/>
        <v>0</v>
      </c>
      <c r="AH174" s="350">
        <f t="shared" si="182"/>
        <v>0</v>
      </c>
      <c r="AI174" s="350">
        <f t="shared" si="182"/>
        <v>0</v>
      </c>
      <c r="AJ174" s="350">
        <f t="shared" si="182"/>
        <v>0</v>
      </c>
      <c r="AK174" s="350">
        <f t="shared" si="182"/>
        <v>0</v>
      </c>
      <c r="AL174" s="350">
        <f t="shared" si="182"/>
        <v>0</v>
      </c>
      <c r="AM174" s="350">
        <f t="shared" si="182"/>
        <v>0</v>
      </c>
      <c r="AN174" s="350">
        <f t="shared" si="182"/>
        <v>0</v>
      </c>
      <c r="AO174" s="350">
        <f t="shared" si="182"/>
        <v>0</v>
      </c>
      <c r="AP174" s="350">
        <f t="shared" si="182"/>
        <v>0</v>
      </c>
      <c r="AQ174" s="348">
        <f t="shared" si="182"/>
        <v>0</v>
      </c>
    </row>
    <row r="175" spans="2:43" x14ac:dyDescent="0.3">
      <c r="B175" s="318" t="s">
        <v>167</v>
      </c>
      <c r="C175" s="215">
        <f t="shared" si="183"/>
        <v>0</v>
      </c>
      <c r="D175" s="213">
        <f t="shared" si="182"/>
        <v>0</v>
      </c>
      <c r="E175" s="350">
        <f t="shared" si="182"/>
        <v>0</v>
      </c>
      <c r="F175" s="350">
        <f t="shared" si="182"/>
        <v>0</v>
      </c>
      <c r="G175" s="348">
        <f t="shared" si="182"/>
        <v>0</v>
      </c>
      <c r="H175" s="213">
        <f t="shared" si="182"/>
        <v>0</v>
      </c>
      <c r="I175" s="350">
        <f t="shared" si="182"/>
        <v>0</v>
      </c>
      <c r="J175" s="350">
        <f t="shared" si="182"/>
        <v>0</v>
      </c>
      <c r="K175" s="350">
        <f t="shared" si="182"/>
        <v>0</v>
      </c>
      <c r="L175" s="350">
        <f t="shared" si="182"/>
        <v>0</v>
      </c>
      <c r="M175" s="350">
        <f t="shared" si="182"/>
        <v>0</v>
      </c>
      <c r="N175" s="350">
        <f t="shared" si="182"/>
        <v>0</v>
      </c>
      <c r="O175" s="350">
        <f t="shared" si="182"/>
        <v>0</v>
      </c>
      <c r="P175" s="350">
        <f t="shared" si="182"/>
        <v>0</v>
      </c>
      <c r="Q175" s="350">
        <f t="shared" si="182"/>
        <v>0</v>
      </c>
      <c r="R175" s="350">
        <f t="shared" si="182"/>
        <v>0</v>
      </c>
      <c r="S175" s="348">
        <f t="shared" si="182"/>
        <v>0</v>
      </c>
      <c r="T175" s="213">
        <f t="shared" si="182"/>
        <v>0</v>
      </c>
      <c r="U175" s="350">
        <f t="shared" si="182"/>
        <v>0</v>
      </c>
      <c r="V175" s="350">
        <f t="shared" si="182"/>
        <v>0</v>
      </c>
      <c r="W175" s="350">
        <f t="shared" si="182"/>
        <v>0</v>
      </c>
      <c r="X175" s="350">
        <f t="shared" si="182"/>
        <v>0</v>
      </c>
      <c r="Y175" s="350">
        <f t="shared" si="182"/>
        <v>0</v>
      </c>
      <c r="Z175" s="350">
        <f t="shared" si="182"/>
        <v>0</v>
      </c>
      <c r="AA175" s="350">
        <f t="shared" si="182"/>
        <v>0</v>
      </c>
      <c r="AB175" s="350">
        <f t="shared" si="182"/>
        <v>0</v>
      </c>
      <c r="AC175" s="350">
        <f t="shared" si="182"/>
        <v>0</v>
      </c>
      <c r="AD175" s="350">
        <f t="shared" si="182"/>
        <v>0</v>
      </c>
      <c r="AE175" s="348">
        <f t="shared" si="182"/>
        <v>0</v>
      </c>
      <c r="AF175" s="213">
        <f t="shared" si="182"/>
        <v>0</v>
      </c>
      <c r="AG175" s="350">
        <f t="shared" si="182"/>
        <v>0</v>
      </c>
      <c r="AH175" s="350">
        <f t="shared" si="182"/>
        <v>0</v>
      </c>
      <c r="AI175" s="350">
        <f t="shared" si="182"/>
        <v>0</v>
      </c>
      <c r="AJ175" s="350">
        <f t="shared" si="182"/>
        <v>0</v>
      </c>
      <c r="AK175" s="350">
        <f t="shared" si="182"/>
        <v>0</v>
      </c>
      <c r="AL175" s="350">
        <f t="shared" si="182"/>
        <v>0</v>
      </c>
      <c r="AM175" s="350">
        <f t="shared" si="182"/>
        <v>0</v>
      </c>
      <c r="AN175" s="350">
        <f t="shared" si="182"/>
        <v>0</v>
      </c>
      <c r="AO175" s="350">
        <f t="shared" si="182"/>
        <v>0</v>
      </c>
      <c r="AP175" s="350">
        <f t="shared" si="182"/>
        <v>0</v>
      </c>
      <c r="AQ175" s="348">
        <f t="shared" si="182"/>
        <v>0</v>
      </c>
    </row>
    <row r="176" spans="2:43" x14ac:dyDescent="0.3">
      <c r="B176" s="128" t="s">
        <v>96</v>
      </c>
      <c r="C176" s="215">
        <f t="shared" si="183"/>
        <v>-1.1130556527826463E-2</v>
      </c>
      <c r="D176" s="213">
        <f t="shared" si="182"/>
        <v>-1.1354838709677351E-2</v>
      </c>
      <c r="E176" s="350">
        <f t="shared" si="182"/>
        <v>-1.1230219499744676E-2</v>
      </c>
      <c r="F176" s="350">
        <f t="shared" si="182"/>
        <v>-1.1108305983337452E-2</v>
      </c>
      <c r="G176" s="348">
        <f t="shared" si="182"/>
        <v>-1.1108305983337452E-2</v>
      </c>
      <c r="H176" s="213">
        <f t="shared" si="182"/>
        <v>-1.1206328279498967E-2</v>
      </c>
      <c r="I176" s="350">
        <f t="shared" si="182"/>
        <v>-1.0948905109488982E-2</v>
      </c>
      <c r="J176" s="350">
        <f t="shared" si="182"/>
        <v>-1.1206328279498967E-2</v>
      </c>
      <c r="K176" s="350">
        <f t="shared" si="182"/>
        <v>-1.1580381471389622E-2</v>
      </c>
      <c r="L176" s="350">
        <f t="shared" si="182"/>
        <v>-1.1206328279498967E-2</v>
      </c>
      <c r="M176" s="350">
        <f t="shared" si="182"/>
        <v>-1.1580381471389622E-2</v>
      </c>
      <c r="N176" s="350">
        <f t="shared" si="182"/>
        <v>-1.1206328279498967E-2</v>
      </c>
      <c r="O176" s="350">
        <f t="shared" si="182"/>
        <v>-1.1206328279498967E-2</v>
      </c>
      <c r="P176" s="350">
        <f t="shared" si="182"/>
        <v>-1.1580381471389622E-2</v>
      </c>
      <c r="Q176" s="350">
        <f t="shared" si="182"/>
        <v>-1.1206328279498967E-2</v>
      </c>
      <c r="R176" s="350">
        <f t="shared" si="182"/>
        <v>-1.1580381471389622E-2</v>
      </c>
      <c r="S176" s="348">
        <f t="shared" si="182"/>
        <v>-1.1206328279498967E-2</v>
      </c>
      <c r="T176" s="213">
        <f>ROUND(T126,2)/ROUND(T109,2)-1</f>
        <v>-1.6949152542372947E-2</v>
      </c>
      <c r="U176" s="350">
        <f t="shared" si="182"/>
        <v>-1.6949152542372947E-2</v>
      </c>
      <c r="V176" s="350">
        <f t="shared" si="182"/>
        <v>-1.6949152542372947E-2</v>
      </c>
      <c r="W176" s="350">
        <f t="shared" si="182"/>
        <v>-1.6949152542372947E-2</v>
      </c>
      <c r="X176" s="350">
        <f t="shared" si="182"/>
        <v>-1.6949152542372947E-2</v>
      </c>
      <c r="Y176" s="350">
        <f t="shared" si="182"/>
        <v>-1.6949152542372947E-2</v>
      </c>
      <c r="Z176" s="350">
        <f t="shared" si="182"/>
        <v>-1.6949152542372947E-2</v>
      </c>
      <c r="AA176" s="350">
        <f t="shared" si="182"/>
        <v>-1.6949152542372947E-2</v>
      </c>
      <c r="AB176" s="350">
        <f t="shared" si="182"/>
        <v>-1.6949152542372947E-2</v>
      </c>
      <c r="AC176" s="350">
        <f t="shared" si="182"/>
        <v>-1.6949152542372947E-2</v>
      </c>
      <c r="AD176" s="350">
        <f t="shared" si="182"/>
        <v>-1.6949152542372947E-2</v>
      </c>
      <c r="AE176" s="348">
        <f t="shared" si="182"/>
        <v>-1.6949152542372947E-2</v>
      </c>
      <c r="AF176" s="213">
        <f t="shared" si="182"/>
        <v>-1.6949152542372947E-2</v>
      </c>
      <c r="AG176" s="350">
        <f t="shared" si="182"/>
        <v>-1.6949152542372947E-2</v>
      </c>
      <c r="AH176" s="350">
        <f t="shared" si="182"/>
        <v>-1.6949152542372947E-2</v>
      </c>
      <c r="AI176" s="350">
        <f t="shared" si="182"/>
        <v>-1.6949152542372947E-2</v>
      </c>
      <c r="AJ176" s="350">
        <f t="shared" si="182"/>
        <v>-1.6949152542372947E-2</v>
      </c>
      <c r="AK176" s="350">
        <f t="shared" si="182"/>
        <v>-1.6949152542372947E-2</v>
      </c>
      <c r="AL176" s="350">
        <f t="shared" si="182"/>
        <v>-1.6949152542372947E-2</v>
      </c>
      <c r="AM176" s="350">
        <f t="shared" si="182"/>
        <v>-1.6949152542372947E-2</v>
      </c>
      <c r="AN176" s="350">
        <f t="shared" si="182"/>
        <v>-1.6949152542372947E-2</v>
      </c>
      <c r="AO176" s="350">
        <f t="shared" si="182"/>
        <v>-1.6949152542372947E-2</v>
      </c>
      <c r="AP176" s="350">
        <f t="shared" si="182"/>
        <v>-1.6949152542372947E-2</v>
      </c>
      <c r="AQ176" s="348">
        <f t="shared" si="182"/>
        <v>-1.6949152542372947E-2</v>
      </c>
    </row>
    <row r="177" spans="2:43" x14ac:dyDescent="0.3">
      <c r="B177" s="128" t="s">
        <v>97</v>
      </c>
      <c r="C177" s="215">
        <f t="shared" si="183"/>
        <v>-9.0191657271702086E-3</v>
      </c>
      <c r="D177" s="213">
        <f t="shared" si="182"/>
        <v>-8.8190184049078413E-3</v>
      </c>
      <c r="E177" s="350">
        <f t="shared" si="182"/>
        <v>-9.1324200913242004E-3</v>
      </c>
      <c r="F177" s="350">
        <f t="shared" si="182"/>
        <v>-9.1743119266054496E-3</v>
      </c>
      <c r="G177" s="348">
        <f t="shared" si="182"/>
        <v>-8.6767895878524515E-3</v>
      </c>
      <c r="H177" s="213">
        <f t="shared" si="182"/>
        <v>-9.0497737556561875E-3</v>
      </c>
      <c r="I177" s="350">
        <f t="shared" si="182"/>
        <v>-9.009009009009028E-3</v>
      </c>
      <c r="J177" s="350">
        <f t="shared" si="182"/>
        <v>-9.5403295750216E-3</v>
      </c>
      <c r="K177" s="350">
        <f t="shared" si="182"/>
        <v>-1.0288065843621519E-2</v>
      </c>
      <c r="L177" s="350">
        <f t="shared" si="182"/>
        <v>-1.0000000000000009E-2</v>
      </c>
      <c r="M177" s="350">
        <f t="shared" si="182"/>
        <v>-7.0422535211266402E-3</v>
      </c>
      <c r="N177" s="350">
        <f t="shared" si="182"/>
        <v>-1.0273972602739656E-2</v>
      </c>
      <c r="O177" s="350">
        <f t="shared" si="182"/>
        <v>-8.8105726872246271E-3</v>
      </c>
      <c r="P177" s="350">
        <f t="shared" si="182"/>
        <v>-9.0744101633393193E-3</v>
      </c>
      <c r="Q177" s="350">
        <f t="shared" si="182"/>
        <v>-9.7357440890125657E-3</v>
      </c>
      <c r="R177" s="350">
        <f t="shared" si="182"/>
        <v>-9.3582887700535133E-3</v>
      </c>
      <c r="S177" s="348">
        <f t="shared" si="182"/>
        <v>-9.2961487383798058E-3</v>
      </c>
      <c r="T177" s="213">
        <f>ROUND(T127,2)/ROUND(T110,2)-1</f>
        <v>0</v>
      </c>
      <c r="U177" s="350">
        <f>ROUND(U127,2)/ROUND(U110,2)-1</f>
        <v>0</v>
      </c>
      <c r="V177" s="350">
        <f t="shared" si="182"/>
        <v>0</v>
      </c>
      <c r="W177" s="350">
        <f t="shared" si="182"/>
        <v>0</v>
      </c>
      <c r="X177" s="350">
        <f t="shared" si="182"/>
        <v>0</v>
      </c>
      <c r="Y177" s="350">
        <f t="shared" si="182"/>
        <v>0</v>
      </c>
      <c r="Z177" s="350">
        <f t="shared" si="182"/>
        <v>0</v>
      </c>
      <c r="AA177" s="350">
        <f t="shared" si="182"/>
        <v>0</v>
      </c>
      <c r="AB177" s="350">
        <f t="shared" si="182"/>
        <v>-2.7027027027027084E-2</v>
      </c>
      <c r="AC177" s="350">
        <f t="shared" si="182"/>
        <v>0</v>
      </c>
      <c r="AD177" s="350">
        <f t="shared" si="182"/>
        <v>-2.0000000000000018E-2</v>
      </c>
      <c r="AE177" s="348">
        <f t="shared" si="182"/>
        <v>-2.0408163265306145E-2</v>
      </c>
      <c r="AF177" s="213">
        <f t="shared" si="182"/>
        <v>0</v>
      </c>
      <c r="AG177" s="350">
        <f t="shared" si="182"/>
        <v>0</v>
      </c>
      <c r="AH177" s="350">
        <f t="shared" ref="D177:AQ179" si="184">ROUND(AH127,2)/ROUND(AH110,2)-1</f>
        <v>0</v>
      </c>
      <c r="AI177" s="350">
        <f t="shared" si="184"/>
        <v>0</v>
      </c>
      <c r="AJ177" s="350">
        <f t="shared" si="184"/>
        <v>0</v>
      </c>
      <c r="AK177" s="350">
        <f t="shared" si="184"/>
        <v>0</v>
      </c>
      <c r="AL177" s="350">
        <f t="shared" si="184"/>
        <v>0</v>
      </c>
      <c r="AM177" s="350">
        <f t="shared" si="184"/>
        <v>0</v>
      </c>
      <c r="AN177" s="350">
        <f t="shared" si="184"/>
        <v>-2.7027027027027084E-2</v>
      </c>
      <c r="AO177" s="350">
        <f t="shared" si="184"/>
        <v>0</v>
      </c>
      <c r="AP177" s="350">
        <f t="shared" si="184"/>
        <v>-2.0000000000000018E-2</v>
      </c>
      <c r="AQ177" s="348">
        <f t="shared" si="184"/>
        <v>-2.0408163265306145E-2</v>
      </c>
    </row>
    <row r="178" spans="2:43" x14ac:dyDescent="0.3">
      <c r="B178" s="318" t="s">
        <v>168</v>
      </c>
      <c r="C178" s="215">
        <f t="shared" si="183"/>
        <v>-1.1130556527826463E-2</v>
      </c>
      <c r="D178" s="213">
        <f t="shared" si="184"/>
        <v>-1.1354838709677351E-2</v>
      </c>
      <c r="E178" s="350">
        <f t="shared" si="184"/>
        <v>-1.1230219499744676E-2</v>
      </c>
      <c r="F178" s="350">
        <f t="shared" si="184"/>
        <v>-1.1108305983337452E-2</v>
      </c>
      <c r="G178" s="348">
        <f t="shared" si="184"/>
        <v>-1.1108305983337452E-2</v>
      </c>
      <c r="H178" s="213">
        <f t="shared" si="184"/>
        <v>-1.1206328279498967E-2</v>
      </c>
      <c r="I178" s="350">
        <f t="shared" si="184"/>
        <v>-1.0948905109488982E-2</v>
      </c>
      <c r="J178" s="350">
        <f t="shared" si="184"/>
        <v>-1.1206328279498967E-2</v>
      </c>
      <c r="K178" s="350">
        <f t="shared" si="184"/>
        <v>-1.1580381471389622E-2</v>
      </c>
      <c r="L178" s="350">
        <f t="shared" si="184"/>
        <v>-1.1206328279498967E-2</v>
      </c>
      <c r="M178" s="350">
        <f t="shared" si="184"/>
        <v>-1.1580381471389622E-2</v>
      </c>
      <c r="N178" s="350">
        <f t="shared" si="184"/>
        <v>-1.1206328279498967E-2</v>
      </c>
      <c r="O178" s="350">
        <f t="shared" si="184"/>
        <v>-1.1206328279498967E-2</v>
      </c>
      <c r="P178" s="350">
        <f t="shared" si="184"/>
        <v>-1.1580381471389622E-2</v>
      </c>
      <c r="Q178" s="350">
        <f t="shared" si="184"/>
        <v>-1.1206328279498967E-2</v>
      </c>
      <c r="R178" s="350">
        <f t="shared" si="184"/>
        <v>-1.1580381471389622E-2</v>
      </c>
      <c r="S178" s="348">
        <f t="shared" si="184"/>
        <v>-1.1206328279498967E-2</v>
      </c>
      <c r="T178" s="359">
        <f>ROUND(T128,2)/ROUND(T111,2)-1</f>
        <v>-1.6949152542372947E-2</v>
      </c>
      <c r="U178" s="350">
        <f t="shared" si="184"/>
        <v>-1.6949152542372947E-2</v>
      </c>
      <c r="V178" s="350">
        <f t="shared" si="184"/>
        <v>-1.6949152542372947E-2</v>
      </c>
      <c r="W178" s="350">
        <f t="shared" si="184"/>
        <v>-1.6949152542372947E-2</v>
      </c>
      <c r="X178" s="350">
        <f t="shared" si="184"/>
        <v>-1.6949152542372947E-2</v>
      </c>
      <c r="Y178" s="350">
        <f t="shared" si="184"/>
        <v>-1.6949152542372947E-2</v>
      </c>
      <c r="Z178" s="350">
        <f t="shared" si="184"/>
        <v>-1.6949152542372947E-2</v>
      </c>
      <c r="AA178" s="350">
        <f t="shared" si="184"/>
        <v>-1.6949152542372947E-2</v>
      </c>
      <c r="AB178" s="350">
        <f t="shared" si="184"/>
        <v>-1.6949152542372947E-2</v>
      </c>
      <c r="AC178" s="350">
        <f t="shared" si="184"/>
        <v>-1.6949152542372947E-2</v>
      </c>
      <c r="AD178" s="350">
        <f t="shared" si="184"/>
        <v>-1.6949152542372947E-2</v>
      </c>
      <c r="AE178" s="348">
        <f t="shared" si="184"/>
        <v>-1.6949152542372947E-2</v>
      </c>
      <c r="AF178" s="213">
        <f t="shared" si="184"/>
        <v>-1.6949152542372947E-2</v>
      </c>
      <c r="AG178" s="350">
        <f t="shared" si="184"/>
        <v>-1.6949152542372947E-2</v>
      </c>
      <c r="AH178" s="350">
        <f t="shared" si="184"/>
        <v>-1.6949152542372947E-2</v>
      </c>
      <c r="AI178" s="350">
        <f t="shared" si="184"/>
        <v>-1.6949152542372947E-2</v>
      </c>
      <c r="AJ178" s="350">
        <f t="shared" si="184"/>
        <v>-1.6949152542372947E-2</v>
      </c>
      <c r="AK178" s="350">
        <f t="shared" si="184"/>
        <v>-1.6949152542372947E-2</v>
      </c>
      <c r="AL178" s="350">
        <f t="shared" si="184"/>
        <v>-1.6949152542372947E-2</v>
      </c>
      <c r="AM178" s="350">
        <f t="shared" si="184"/>
        <v>-1.6949152542372947E-2</v>
      </c>
      <c r="AN178" s="350">
        <f t="shared" si="184"/>
        <v>-1.6949152542372947E-2</v>
      </c>
      <c r="AO178" s="350">
        <f t="shared" si="184"/>
        <v>-1.6949152542372947E-2</v>
      </c>
      <c r="AP178" s="350">
        <f t="shared" si="184"/>
        <v>-1.6949152542372947E-2</v>
      </c>
      <c r="AQ178" s="348">
        <f t="shared" si="184"/>
        <v>-1.6949152542372947E-2</v>
      </c>
    </row>
    <row r="179" spans="2:43" ht="15" thickBot="1" x14ac:dyDescent="0.35">
      <c r="B179" s="210" t="s">
        <v>98</v>
      </c>
      <c r="C179" s="351">
        <f>ROUND(C129,2)/ROUND(C112,2)-1</f>
        <v>-1.1130556527826463E-2</v>
      </c>
      <c r="D179" s="352">
        <f t="shared" si="184"/>
        <v>-1.1146718684687196E-2</v>
      </c>
      <c r="E179" s="353">
        <f t="shared" si="184"/>
        <v>-1.0920436817472678E-2</v>
      </c>
      <c r="F179" s="353">
        <f t="shared" si="184"/>
        <v>-1.0852713178294615E-2</v>
      </c>
      <c r="G179" s="354">
        <f t="shared" si="184"/>
        <v>-1.1109087597887424E-2</v>
      </c>
      <c r="H179" s="352">
        <f t="shared" si="184"/>
        <v>-1.1270780501549726E-2</v>
      </c>
      <c r="I179" s="353">
        <f t="shared" si="184"/>
        <v>-1.1249999999999982E-2</v>
      </c>
      <c r="J179" s="353">
        <f t="shared" si="184"/>
        <v>-1.1214953271028061E-2</v>
      </c>
      <c r="K179" s="353">
        <f t="shared" si="184"/>
        <v>-1.1096605744125299E-2</v>
      </c>
      <c r="L179" s="353">
        <f t="shared" si="184"/>
        <v>-1.0989010989011061E-2</v>
      </c>
      <c r="M179" s="353">
        <f t="shared" si="184"/>
        <v>-1.1352885525071077E-2</v>
      </c>
      <c r="N179" s="353">
        <f t="shared" si="184"/>
        <v>-1.0570824524313016E-2</v>
      </c>
      <c r="O179" s="353">
        <f t="shared" si="184"/>
        <v>-1.0183299389001976E-2</v>
      </c>
      <c r="P179" s="353">
        <f t="shared" si="184"/>
        <v>-1.106194690265494E-2</v>
      </c>
      <c r="Q179" s="353">
        <f t="shared" si="184"/>
        <v>-1.0687022900763177E-2</v>
      </c>
      <c r="R179" s="353">
        <f t="shared" si="184"/>
        <v>-1.0884997633696214E-2</v>
      </c>
      <c r="S179" s="354">
        <f t="shared" si="184"/>
        <v>-1.1231448054552784E-2</v>
      </c>
      <c r="T179" s="352">
        <f>ROUND(T129,2)/ROUND(T112,2)-1</f>
        <v>-1.3100436681222849E-2</v>
      </c>
      <c r="U179" s="353">
        <f t="shared" si="184"/>
        <v>-5.8479532163743242E-3</v>
      </c>
      <c r="V179" s="353">
        <f t="shared" si="184"/>
        <v>-1.1560693641618491E-2</v>
      </c>
      <c r="W179" s="353">
        <f t="shared" si="184"/>
        <v>-9.8039215686274161E-3</v>
      </c>
      <c r="X179" s="353">
        <f t="shared" si="184"/>
        <v>-1.2195121951219412E-2</v>
      </c>
      <c r="Y179" s="353">
        <f t="shared" si="184"/>
        <v>0</v>
      </c>
      <c r="Z179" s="353">
        <f t="shared" si="184"/>
        <v>-3.2258064516129115E-2</v>
      </c>
      <c r="AA179" s="353">
        <f t="shared" si="184"/>
        <v>-3.125E-2</v>
      </c>
      <c r="AB179" s="353">
        <f t="shared" si="184"/>
        <v>-1.1111111111111072E-2</v>
      </c>
      <c r="AC179" s="353">
        <f t="shared" si="184"/>
        <v>-1.5748031496062964E-2</v>
      </c>
      <c r="AD179" s="353">
        <f t="shared" si="184"/>
        <v>-1.4184397163120588E-2</v>
      </c>
      <c r="AE179" s="354">
        <f t="shared" si="184"/>
        <v>-1.2422360248447228E-2</v>
      </c>
      <c r="AF179" s="352">
        <f t="shared" si="184"/>
        <v>-1.3100436681222849E-2</v>
      </c>
      <c r="AG179" s="353">
        <f t="shared" si="184"/>
        <v>-5.8479532163743242E-3</v>
      </c>
      <c r="AH179" s="353">
        <f t="shared" si="184"/>
        <v>-1.1560693641618491E-2</v>
      </c>
      <c r="AI179" s="353">
        <f t="shared" si="184"/>
        <v>-9.8039215686274161E-3</v>
      </c>
      <c r="AJ179" s="353">
        <f t="shared" si="184"/>
        <v>-1.2195121951219412E-2</v>
      </c>
      <c r="AK179" s="353">
        <f t="shared" si="184"/>
        <v>0</v>
      </c>
      <c r="AL179" s="353">
        <f t="shared" si="184"/>
        <v>-3.2258064516129115E-2</v>
      </c>
      <c r="AM179" s="353">
        <f t="shared" si="184"/>
        <v>-3.125E-2</v>
      </c>
      <c r="AN179" s="353">
        <f t="shared" si="184"/>
        <v>-1.1111111111111072E-2</v>
      </c>
      <c r="AO179" s="353">
        <f t="shared" si="184"/>
        <v>-1.5748031496062964E-2</v>
      </c>
      <c r="AP179" s="353">
        <f t="shared" si="184"/>
        <v>-1.4184397163120588E-2</v>
      </c>
      <c r="AQ179" s="354">
        <f t="shared" si="184"/>
        <v>-1.2422360248447228E-2</v>
      </c>
    </row>
  </sheetData>
  <mergeCells count="77">
    <mergeCell ref="B130:X130"/>
    <mergeCell ref="B168:AQ168"/>
    <mergeCell ref="C169:C170"/>
    <mergeCell ref="D169:G169"/>
    <mergeCell ref="H169:S169"/>
    <mergeCell ref="T169:AE169"/>
    <mergeCell ref="AF169:AQ169"/>
    <mergeCell ref="B156:AQ156"/>
    <mergeCell ref="C157:C158"/>
    <mergeCell ref="D157:G157"/>
    <mergeCell ref="H157:S157"/>
    <mergeCell ref="T157:AE157"/>
    <mergeCell ref="AF157:AQ157"/>
    <mergeCell ref="B132:AQ132"/>
    <mergeCell ref="C133:C134"/>
    <mergeCell ref="D133:G133"/>
    <mergeCell ref="H133:S133"/>
    <mergeCell ref="T133:AE133"/>
    <mergeCell ref="AF133:AQ133"/>
    <mergeCell ref="B44:AQ44"/>
    <mergeCell ref="B45:AQ45"/>
    <mergeCell ref="B62:AQ62"/>
    <mergeCell ref="C63:C69"/>
    <mergeCell ref="D63:G63"/>
    <mergeCell ref="H63:S63"/>
    <mergeCell ref="T63:AE63"/>
    <mergeCell ref="AF46:AQ46"/>
    <mergeCell ref="H46:S46"/>
    <mergeCell ref="AF63:AQ63"/>
    <mergeCell ref="T46:AE46"/>
    <mergeCell ref="B79:AQ79"/>
    <mergeCell ref="C80:C86"/>
    <mergeCell ref="T28:AE28"/>
    <mergeCell ref="T36:AE36"/>
    <mergeCell ref="B6:S6"/>
    <mergeCell ref="C46:C52"/>
    <mergeCell ref="D9:G9"/>
    <mergeCell ref="C9:C10"/>
    <mergeCell ref="H9:S9"/>
    <mergeCell ref="D46:G46"/>
    <mergeCell ref="B8:S8"/>
    <mergeCell ref="B36:B37"/>
    <mergeCell ref="C36:C37"/>
    <mergeCell ref="D36:G36"/>
    <mergeCell ref="H36:S36"/>
    <mergeCell ref="D18:G18"/>
    <mergeCell ref="B9:B10"/>
    <mergeCell ref="B18:B19"/>
    <mergeCell ref="C18:C19"/>
    <mergeCell ref="B28:B29"/>
    <mergeCell ref="D28:G28"/>
    <mergeCell ref="H28:S28"/>
    <mergeCell ref="C28:C29"/>
    <mergeCell ref="H18:K18"/>
    <mergeCell ref="L18:N18"/>
    <mergeCell ref="B144:AQ144"/>
    <mergeCell ref="C145:C146"/>
    <mergeCell ref="D145:G145"/>
    <mergeCell ref="H145:S145"/>
    <mergeCell ref="T145:AE145"/>
    <mergeCell ref="AF145:AQ145"/>
    <mergeCell ref="D80:G80"/>
    <mergeCell ref="H80:S80"/>
    <mergeCell ref="T80:AE80"/>
    <mergeCell ref="AF80:AQ80"/>
    <mergeCell ref="B96:AQ96"/>
    <mergeCell ref="C97:C103"/>
    <mergeCell ref="D97:G97"/>
    <mergeCell ref="H97:S97"/>
    <mergeCell ref="T97:AE97"/>
    <mergeCell ref="AF97:AQ97"/>
    <mergeCell ref="B113:AQ113"/>
    <mergeCell ref="C114:C120"/>
    <mergeCell ref="D114:G114"/>
    <mergeCell ref="H114:S114"/>
    <mergeCell ref="T114:AE114"/>
    <mergeCell ref="AF114:AQ114"/>
  </mergeCells>
  <pageMargins left="0.7" right="0.7"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9"/>
  <sheetViews>
    <sheetView showGridLines="0" zoomScale="80" zoomScaleNormal="80" workbookViewId="0">
      <selection activeCell="B134" sqref="B134"/>
    </sheetView>
  </sheetViews>
  <sheetFormatPr defaultRowHeight="14.4" x14ac:dyDescent="0.3"/>
  <cols>
    <col min="1" max="1" width="2.109375" customWidth="1"/>
    <col min="2" max="2" width="40.6640625" customWidth="1"/>
    <col min="3" max="14" width="8.6640625" customWidth="1"/>
    <col min="15" max="15" width="9.6640625" customWidth="1"/>
    <col min="16" max="30" width="6.6640625" customWidth="1"/>
  </cols>
  <sheetData>
    <row r="1" spans="2:23" ht="25.2" customHeight="1" x14ac:dyDescent="0.3">
      <c r="B1" s="143" t="s">
        <v>99</v>
      </c>
      <c r="C1" s="86"/>
      <c r="D1" s="86"/>
      <c r="E1" s="86"/>
      <c r="F1" s="86"/>
      <c r="G1" s="86"/>
      <c r="H1" s="86"/>
      <c r="I1" s="86"/>
      <c r="J1" s="86"/>
      <c r="K1" s="86"/>
      <c r="L1" s="86"/>
      <c r="M1" s="86"/>
      <c r="N1" s="86"/>
      <c r="O1" s="86"/>
      <c r="P1" s="86"/>
      <c r="Q1" s="86"/>
      <c r="R1" s="86"/>
      <c r="S1" s="86"/>
      <c r="T1" s="86"/>
      <c r="U1" s="86"/>
    </row>
    <row r="2" spans="2:23" ht="15.6" x14ac:dyDescent="0.3">
      <c r="B2" s="23" t="s">
        <v>51</v>
      </c>
      <c r="C2" s="23"/>
      <c r="D2" s="23"/>
      <c r="E2" s="23"/>
      <c r="F2" s="23"/>
      <c r="G2" s="23"/>
      <c r="H2" s="23"/>
      <c r="I2" s="23"/>
      <c r="J2" s="23"/>
      <c r="K2" s="23"/>
      <c r="L2" s="23"/>
      <c r="M2" s="23"/>
      <c r="N2" s="23"/>
      <c r="O2" s="23"/>
      <c r="P2" s="23"/>
      <c r="Q2" s="23"/>
      <c r="R2" s="23"/>
      <c r="S2" s="23"/>
      <c r="T2" s="23"/>
      <c r="U2" s="23"/>
      <c r="V2" s="85"/>
    </row>
    <row r="3" spans="2:23" ht="14.4" customHeight="1" x14ac:dyDescent="0.3">
      <c r="B3" s="24" t="s">
        <v>141</v>
      </c>
      <c r="C3" s="4"/>
      <c r="D3" s="4"/>
      <c r="E3" s="4"/>
      <c r="F3" s="4"/>
      <c r="G3" s="4"/>
      <c r="H3" s="4"/>
      <c r="I3" s="4"/>
      <c r="J3" s="4"/>
      <c r="K3" s="4"/>
      <c r="L3" s="4"/>
      <c r="M3" s="4"/>
      <c r="N3" s="4"/>
      <c r="O3" s="4"/>
      <c r="P3" s="4"/>
      <c r="Q3" s="4"/>
      <c r="R3" s="4"/>
      <c r="S3" s="27"/>
      <c r="T3" s="27"/>
      <c r="U3" s="27"/>
      <c r="V3" s="27"/>
    </row>
    <row r="4" spans="2:23" x14ac:dyDescent="0.3">
      <c r="B4" s="212" t="s">
        <v>137</v>
      </c>
      <c r="C4" s="3"/>
      <c r="D4" s="3"/>
      <c r="E4" s="3"/>
      <c r="F4" s="3"/>
    </row>
    <row r="5" spans="2:23" x14ac:dyDescent="0.3">
      <c r="B5" s="10"/>
      <c r="C5" s="3"/>
      <c r="D5" s="3"/>
      <c r="E5" s="3"/>
      <c r="F5" s="3"/>
    </row>
    <row r="6" spans="2:23" ht="41.4" customHeight="1" x14ac:dyDescent="0.3">
      <c r="B6" s="421" t="s">
        <v>55</v>
      </c>
      <c r="C6" s="421"/>
      <c r="D6" s="421"/>
      <c r="E6" s="421"/>
      <c r="F6" s="421"/>
      <c r="G6" s="421"/>
      <c r="H6" s="421"/>
      <c r="I6" s="421"/>
      <c r="J6" s="421"/>
      <c r="K6" s="421"/>
      <c r="L6" s="421"/>
      <c r="M6" s="421"/>
      <c r="N6" s="421"/>
      <c r="O6" s="421"/>
      <c r="P6" s="109"/>
      <c r="Q6" s="109"/>
      <c r="R6" s="109"/>
      <c r="W6" s="8"/>
    </row>
    <row r="7" spans="2:23" ht="14.4" customHeight="1" x14ac:dyDescent="0.3">
      <c r="B7" s="406"/>
      <c r="C7" s="415" t="s">
        <v>54</v>
      </c>
      <c r="D7" s="415"/>
      <c r="E7" s="415"/>
      <c r="F7" s="415"/>
      <c r="G7" s="415"/>
      <c r="H7" s="415"/>
      <c r="I7" s="415"/>
      <c r="J7" s="415"/>
      <c r="K7" s="415"/>
      <c r="L7" s="415"/>
      <c r="M7" s="415"/>
      <c r="N7" s="415"/>
      <c r="O7" s="415"/>
      <c r="P7" s="100"/>
      <c r="Q7" s="100"/>
      <c r="R7" s="100"/>
      <c r="S7" s="95"/>
      <c r="T7" s="95"/>
      <c r="U7" s="95"/>
      <c r="V7" s="95"/>
      <c r="W7" s="8"/>
    </row>
    <row r="8" spans="2:23" x14ac:dyDescent="0.3">
      <c r="B8" s="406"/>
      <c r="C8" s="88" t="s">
        <v>24</v>
      </c>
      <c r="D8" s="88" t="s">
        <v>25</v>
      </c>
      <c r="E8" s="88" t="s">
        <v>26</v>
      </c>
      <c r="F8" s="88" t="s">
        <v>27</v>
      </c>
      <c r="G8" s="88" t="s">
        <v>17</v>
      </c>
      <c r="H8" s="88" t="s">
        <v>28</v>
      </c>
      <c r="I8" s="88" t="s">
        <v>29</v>
      </c>
      <c r="J8" s="88" t="s">
        <v>30</v>
      </c>
      <c r="K8" s="88" t="s">
        <v>31</v>
      </c>
      <c r="L8" s="88" t="s">
        <v>32</v>
      </c>
      <c r="M8" s="88" t="s">
        <v>33</v>
      </c>
      <c r="N8" s="88" t="s">
        <v>34</v>
      </c>
      <c r="O8" s="88" t="s">
        <v>53</v>
      </c>
      <c r="P8" s="110"/>
      <c r="Q8" s="110"/>
      <c r="R8" s="110"/>
      <c r="S8" s="28"/>
      <c r="T8" s="28"/>
      <c r="U8" s="28"/>
      <c r="V8" s="28"/>
    </row>
    <row r="9" spans="2:23" x14ac:dyDescent="0.3">
      <c r="B9" s="91" t="s">
        <v>52</v>
      </c>
      <c r="C9" s="161">
        <v>2569847.5410000002</v>
      </c>
      <c r="D9" s="161">
        <v>2219043.463</v>
      </c>
      <c r="E9" s="161">
        <v>2228648.682</v>
      </c>
      <c r="F9" s="161">
        <v>1710821.14</v>
      </c>
      <c r="G9" s="161">
        <v>1535155.69</v>
      </c>
      <c r="H9" s="161">
        <v>1423652.727</v>
      </c>
      <c r="I9" s="161">
        <v>941189.55599999998</v>
      </c>
      <c r="J9" s="161">
        <v>956102.61399999994</v>
      </c>
      <c r="K9" s="161">
        <v>1611597.79</v>
      </c>
      <c r="L9" s="161">
        <v>1908721.632</v>
      </c>
      <c r="M9" s="161">
        <v>2016185.0660000001</v>
      </c>
      <c r="N9" s="161">
        <v>2150871.0520000001</v>
      </c>
      <c r="O9" s="112">
        <f>SUM(C9:N9)</f>
        <v>21271836.953000002</v>
      </c>
      <c r="S9" s="28"/>
      <c r="T9" s="28"/>
      <c r="U9" s="28"/>
      <c r="V9" s="28"/>
    </row>
    <row r="10" spans="2:23" x14ac:dyDescent="0.3">
      <c r="B10" s="89"/>
      <c r="C10" s="107"/>
      <c r="D10" s="107"/>
      <c r="E10" s="107"/>
      <c r="F10" s="107"/>
      <c r="G10" s="107"/>
      <c r="H10" s="107"/>
      <c r="I10" s="107"/>
      <c r="J10" s="107"/>
      <c r="K10" s="107"/>
      <c r="L10" s="107"/>
      <c r="M10" s="107"/>
      <c r="N10" s="107"/>
      <c r="O10" s="108"/>
      <c r="S10" s="28"/>
      <c r="T10" s="28"/>
      <c r="U10" s="28"/>
      <c r="V10" s="28"/>
    </row>
    <row r="11" spans="2:23" ht="40.200000000000003" customHeight="1" x14ac:dyDescent="0.3">
      <c r="B11" s="421" t="s">
        <v>58</v>
      </c>
      <c r="C11" s="421"/>
      <c r="D11" s="421"/>
      <c r="E11" s="421"/>
      <c r="F11" s="421"/>
      <c r="G11" s="421"/>
      <c r="H11" s="421"/>
      <c r="I11" s="421"/>
      <c r="J11" s="421"/>
      <c r="K11" s="421"/>
      <c r="L11" s="421"/>
      <c r="M11" s="421"/>
      <c r="N11" s="421"/>
      <c r="O11" s="421"/>
      <c r="S11" s="28"/>
      <c r="T11" s="28"/>
      <c r="U11" s="28"/>
      <c r="V11" s="28"/>
    </row>
    <row r="12" spans="2:23" x14ac:dyDescent="0.3">
      <c r="B12" s="406"/>
      <c r="C12" s="415" t="s">
        <v>57</v>
      </c>
      <c r="D12" s="415"/>
      <c r="E12" s="415"/>
      <c r="F12" s="415"/>
      <c r="G12" s="415"/>
      <c r="H12" s="415"/>
      <c r="I12" s="415"/>
      <c r="J12" s="415"/>
      <c r="K12" s="415"/>
      <c r="L12" s="415"/>
      <c r="M12" s="415"/>
      <c r="N12" s="415"/>
      <c r="O12" s="415"/>
      <c r="S12" s="28"/>
      <c r="T12" s="28"/>
      <c r="U12" s="28"/>
      <c r="V12" s="28"/>
    </row>
    <row r="13" spans="2:23" x14ac:dyDescent="0.3">
      <c r="B13" s="406"/>
      <c r="C13" s="88" t="s">
        <v>24</v>
      </c>
      <c r="D13" s="88" t="s">
        <v>25</v>
      </c>
      <c r="E13" s="88" t="s">
        <v>26</v>
      </c>
      <c r="F13" s="88" t="s">
        <v>27</v>
      </c>
      <c r="G13" s="88" t="s">
        <v>17</v>
      </c>
      <c r="H13" s="88" t="s">
        <v>28</v>
      </c>
      <c r="I13" s="88" t="s">
        <v>29</v>
      </c>
      <c r="J13" s="88" t="s">
        <v>30</v>
      </c>
      <c r="K13" s="88" t="s">
        <v>31</v>
      </c>
      <c r="L13" s="88" t="s">
        <v>32</v>
      </c>
      <c r="M13" s="88" t="s">
        <v>33</v>
      </c>
      <c r="N13" s="88" t="s">
        <v>34</v>
      </c>
      <c r="O13" s="88" t="s">
        <v>53</v>
      </c>
      <c r="S13" s="28"/>
      <c r="T13" s="28"/>
      <c r="U13" s="28"/>
      <c r="V13" s="28"/>
    </row>
    <row r="14" spans="2:23" x14ac:dyDescent="0.3">
      <c r="B14" s="91" t="s">
        <v>56</v>
      </c>
      <c r="C14" s="111">
        <f>C9/$O$9</f>
        <v>0.12080985514688097</v>
      </c>
      <c r="D14" s="111">
        <f t="shared" ref="D14:N14" si="0">D9/$O$9</f>
        <v>0.10431837494349752</v>
      </c>
      <c r="E14" s="111">
        <f t="shared" si="0"/>
        <v>0.10476992123078915</v>
      </c>
      <c r="F14" s="111">
        <f t="shared" si="0"/>
        <v>8.0426582047429612E-2</v>
      </c>
      <c r="G14" s="111">
        <f t="shared" si="0"/>
        <v>7.2168458859097007E-2</v>
      </c>
      <c r="H14" s="111">
        <f t="shared" si="0"/>
        <v>6.6926647197679837E-2</v>
      </c>
      <c r="I14" s="111">
        <f t="shared" si="0"/>
        <v>4.4245805290796122E-2</v>
      </c>
      <c r="J14" s="111">
        <f t="shared" si="0"/>
        <v>4.4946875820480528E-2</v>
      </c>
      <c r="K14" s="111">
        <f t="shared" si="0"/>
        <v>7.5762041311280073E-2</v>
      </c>
      <c r="L14" s="111">
        <f t="shared" si="0"/>
        <v>8.9729986000612411E-2</v>
      </c>
      <c r="M14" s="111">
        <f t="shared" si="0"/>
        <v>9.4781897325310879E-2</v>
      </c>
      <c r="N14" s="111">
        <f t="shared" si="0"/>
        <v>0.10111355482614581</v>
      </c>
      <c r="O14" s="111">
        <f>SUM(C14:N14)</f>
        <v>0.99999999999999989</v>
      </c>
      <c r="S14" s="28"/>
      <c r="T14" s="28"/>
      <c r="U14" s="28"/>
      <c r="V14" s="28"/>
    </row>
    <row r="15" spans="2:23" x14ac:dyDescent="0.3">
      <c r="B15" s="89"/>
      <c r="C15" s="107"/>
      <c r="D15" s="107"/>
      <c r="E15" s="114"/>
      <c r="F15" s="114"/>
      <c r="G15" s="107"/>
      <c r="H15" s="107"/>
      <c r="I15" s="107"/>
      <c r="J15" s="107"/>
      <c r="K15" s="107"/>
      <c r="L15" s="107"/>
      <c r="M15" s="107"/>
      <c r="N15" s="107"/>
      <c r="O15" s="108"/>
      <c r="S15" s="28"/>
      <c r="T15" s="28"/>
      <c r="U15" s="28"/>
      <c r="V15" s="28"/>
    </row>
    <row r="16" spans="2:23" ht="41.4" customHeight="1" x14ac:dyDescent="0.3">
      <c r="B16" s="421" t="s">
        <v>59</v>
      </c>
      <c r="C16" s="421"/>
      <c r="D16" s="421"/>
      <c r="E16" s="421"/>
      <c r="F16" s="421"/>
      <c r="G16" s="421"/>
      <c r="H16" s="421"/>
      <c r="I16" s="421"/>
      <c r="J16" s="421"/>
      <c r="K16" s="421"/>
      <c r="L16" s="421"/>
      <c r="M16" s="421"/>
      <c r="N16" s="421"/>
      <c r="O16" s="109"/>
      <c r="S16" s="28"/>
      <c r="T16" s="28"/>
      <c r="U16" s="28"/>
      <c r="V16" s="28"/>
    </row>
    <row r="17" spans="2:22" ht="14.4" customHeight="1" x14ac:dyDescent="0.3">
      <c r="B17" s="406"/>
      <c r="C17" s="415" t="s">
        <v>57</v>
      </c>
      <c r="D17" s="415"/>
      <c r="E17" s="415"/>
      <c r="F17" s="415"/>
      <c r="G17" s="415"/>
      <c r="H17" s="415"/>
      <c r="I17" s="415"/>
      <c r="J17" s="415"/>
      <c r="K17" s="415"/>
      <c r="L17" s="415"/>
      <c r="M17" s="415"/>
      <c r="N17" s="415"/>
      <c r="O17" s="115"/>
      <c r="S17" s="28"/>
      <c r="T17" s="28"/>
      <c r="U17" s="28"/>
      <c r="V17" s="28"/>
    </row>
    <row r="18" spans="2:22" x14ac:dyDescent="0.3">
      <c r="B18" s="406"/>
      <c r="C18" s="88" t="s">
        <v>24</v>
      </c>
      <c r="D18" s="88" t="s">
        <v>25</v>
      </c>
      <c r="E18" s="88" t="s">
        <v>26</v>
      </c>
      <c r="F18" s="88" t="s">
        <v>27</v>
      </c>
      <c r="G18" s="88" t="s">
        <v>17</v>
      </c>
      <c r="H18" s="88" t="s">
        <v>28</v>
      </c>
      <c r="I18" s="88" t="s">
        <v>29</v>
      </c>
      <c r="J18" s="88" t="s">
        <v>30</v>
      </c>
      <c r="K18" s="88" t="s">
        <v>31</v>
      </c>
      <c r="L18" s="88" t="s">
        <v>32</v>
      </c>
      <c r="M18" s="88" t="s">
        <v>33</v>
      </c>
      <c r="N18" s="88" t="s">
        <v>34</v>
      </c>
      <c r="O18" s="116"/>
      <c r="S18" s="28"/>
      <c r="T18" s="28"/>
      <c r="U18" s="28"/>
      <c r="V18" s="28"/>
    </row>
    <row r="19" spans="2:22" x14ac:dyDescent="0.3">
      <c r="B19" s="91" t="s">
        <v>60</v>
      </c>
      <c r="C19" s="111">
        <f>IF(C14&gt;0,C14*12,MIN(0.1,SMALL($C$14:$N$14,COUNTIF($C$14:$N$14,0)+1))*12)</f>
        <v>1.4497182617625717</v>
      </c>
      <c r="D19" s="111">
        <f t="shared" ref="D19:N19" si="1">IF(D14&gt;0,D14*12,MIN(0.1,SMALL($C$14:$N$14,COUNTIF($C$14:$N$14,0)+1))*12)</f>
        <v>1.2518204993219704</v>
      </c>
      <c r="E19" s="111">
        <f t="shared" si="1"/>
        <v>1.2572390547694698</v>
      </c>
      <c r="F19" s="111">
        <f t="shared" si="1"/>
        <v>0.96511898456915535</v>
      </c>
      <c r="G19" s="111">
        <f t="shared" si="1"/>
        <v>0.86602150630916408</v>
      </c>
      <c r="H19" s="111">
        <f t="shared" si="1"/>
        <v>0.80311976637215809</v>
      </c>
      <c r="I19" s="111">
        <f t="shared" si="1"/>
        <v>0.53094966348955341</v>
      </c>
      <c r="J19" s="111">
        <f t="shared" si="1"/>
        <v>0.53936250984576639</v>
      </c>
      <c r="K19" s="111">
        <f t="shared" si="1"/>
        <v>0.90914449573536094</v>
      </c>
      <c r="L19" s="111">
        <f t="shared" si="1"/>
        <v>1.0767598320073488</v>
      </c>
      <c r="M19" s="111">
        <f t="shared" si="1"/>
        <v>1.1373827679037305</v>
      </c>
      <c r="N19" s="111">
        <f t="shared" si="1"/>
        <v>1.2133626579137498</v>
      </c>
      <c r="O19" s="114"/>
      <c r="Q19" s="120"/>
      <c r="R19" s="110"/>
      <c r="S19" s="58"/>
      <c r="T19" s="28"/>
      <c r="U19" s="28"/>
      <c r="V19" s="28"/>
    </row>
    <row r="20" spans="2:22" x14ac:dyDescent="0.3">
      <c r="B20" s="89"/>
      <c r="C20" s="119"/>
      <c r="D20" s="107"/>
      <c r="E20" s="107"/>
      <c r="F20" s="107"/>
      <c r="G20" s="107"/>
      <c r="H20" s="107"/>
      <c r="I20" s="107"/>
      <c r="J20" s="107"/>
      <c r="K20" s="107"/>
      <c r="L20" s="107"/>
      <c r="M20" s="107"/>
      <c r="N20" s="107"/>
      <c r="O20" s="108"/>
      <c r="S20" s="28"/>
      <c r="T20" s="28"/>
      <c r="U20" s="28"/>
      <c r="V20" s="28"/>
    </row>
    <row r="21" spans="2:22" ht="43.2" customHeight="1" x14ac:dyDescent="0.3">
      <c r="B21" s="421" t="s">
        <v>61</v>
      </c>
      <c r="C21" s="421"/>
      <c r="D21" s="421"/>
      <c r="E21" s="421"/>
      <c r="F21" s="421"/>
      <c r="G21" s="421"/>
      <c r="H21" s="421"/>
      <c r="I21" s="421"/>
      <c r="J21" s="421"/>
      <c r="K21" s="421"/>
      <c r="L21" s="421"/>
      <c r="M21" s="421"/>
      <c r="N21" s="421"/>
      <c r="O21" s="109"/>
      <c r="S21" s="28"/>
      <c r="T21" s="28"/>
      <c r="U21" s="28"/>
      <c r="V21" s="28"/>
    </row>
    <row r="22" spans="2:22" ht="14.4" customHeight="1" x14ac:dyDescent="0.3">
      <c r="B22" s="406"/>
      <c r="C22" s="415" t="s">
        <v>57</v>
      </c>
      <c r="D22" s="415"/>
      <c r="E22" s="415"/>
      <c r="F22" s="415"/>
      <c r="G22" s="415"/>
      <c r="H22" s="415"/>
      <c r="I22" s="415"/>
      <c r="J22" s="415"/>
      <c r="K22" s="415"/>
      <c r="L22" s="415"/>
      <c r="M22" s="415"/>
      <c r="N22" s="415"/>
      <c r="O22" s="115"/>
      <c r="S22" s="28"/>
      <c r="T22" s="28"/>
      <c r="U22" s="28"/>
      <c r="V22" s="28"/>
    </row>
    <row r="23" spans="2:22" x14ac:dyDescent="0.3">
      <c r="B23" s="406"/>
      <c r="C23" s="88" t="s">
        <v>24</v>
      </c>
      <c r="D23" s="88" t="s">
        <v>25</v>
      </c>
      <c r="E23" s="88" t="s">
        <v>26</v>
      </c>
      <c r="F23" s="88" t="s">
        <v>27</v>
      </c>
      <c r="G23" s="88" t="s">
        <v>17</v>
      </c>
      <c r="H23" s="88" t="s">
        <v>28</v>
      </c>
      <c r="I23" s="88" t="s">
        <v>29</v>
      </c>
      <c r="J23" s="88" t="s">
        <v>30</v>
      </c>
      <c r="K23" s="88" t="s">
        <v>31</v>
      </c>
      <c r="L23" s="88" t="s">
        <v>32</v>
      </c>
      <c r="M23" s="88" t="s">
        <v>33</v>
      </c>
      <c r="N23" s="88" t="s">
        <v>34</v>
      </c>
      <c r="O23" s="116"/>
      <c r="S23" s="28"/>
      <c r="T23" s="28"/>
      <c r="U23" s="28"/>
      <c r="V23" s="28"/>
    </row>
    <row r="24" spans="2:22" x14ac:dyDescent="0.3">
      <c r="B24" s="91" t="s">
        <v>63</v>
      </c>
      <c r="C24" s="111">
        <f>C19^$C$25</f>
        <v>2.1016830384878924</v>
      </c>
      <c r="D24" s="111">
        <f t="shared" ref="D24:N24" si="2">D19^$C$25</f>
        <v>1.5670545625227073</v>
      </c>
      <c r="E24" s="111">
        <f t="shared" si="2"/>
        <v>1.5806500408376301</v>
      </c>
      <c r="F24" s="111">
        <f t="shared" si="2"/>
        <v>0.93145465437579755</v>
      </c>
      <c r="G24" s="111">
        <f t="shared" si="2"/>
        <v>0.74999324938999357</v>
      </c>
      <c r="H24" s="111">
        <f t="shared" si="2"/>
        <v>0.64500135913766976</v>
      </c>
      <c r="I24" s="111">
        <f t="shared" si="2"/>
        <v>0.28190754515967004</v>
      </c>
      <c r="J24" s="111">
        <f t="shared" si="2"/>
        <v>0.29091191702712443</v>
      </c>
      <c r="K24" s="111">
        <f t="shared" si="2"/>
        <v>0.82654371412590377</v>
      </c>
      <c r="L24" s="111">
        <f t="shared" si="2"/>
        <v>1.159411735824494</v>
      </c>
      <c r="M24" s="111">
        <f t="shared" si="2"/>
        <v>1.2936395607243514</v>
      </c>
      <c r="N24" s="111">
        <f t="shared" si="2"/>
        <v>1.4722489396195193</v>
      </c>
      <c r="O24" s="114"/>
      <c r="S24" s="28"/>
      <c r="T24" s="28"/>
      <c r="U24" s="28"/>
      <c r="V24" s="28"/>
    </row>
    <row r="25" spans="2:22" x14ac:dyDescent="0.3">
      <c r="B25" s="91" t="s">
        <v>62</v>
      </c>
      <c r="C25" s="162">
        <v>2</v>
      </c>
      <c r="D25" s="107"/>
      <c r="E25" s="107"/>
      <c r="F25" s="107"/>
      <c r="G25" s="107"/>
      <c r="H25" s="107"/>
      <c r="I25" s="107"/>
      <c r="J25" s="107"/>
      <c r="K25" s="107"/>
      <c r="L25" s="107"/>
      <c r="M25" s="107"/>
      <c r="N25" s="107"/>
      <c r="O25" s="108"/>
      <c r="S25" s="28"/>
      <c r="T25" s="28"/>
      <c r="U25" s="28"/>
      <c r="V25" s="28"/>
    </row>
    <row r="26" spans="2:22" x14ac:dyDescent="0.3">
      <c r="B26" s="89"/>
      <c r="C26" s="107"/>
      <c r="D26" s="107"/>
      <c r="E26" s="107"/>
      <c r="F26" s="107"/>
      <c r="G26" s="107"/>
      <c r="H26" s="107"/>
      <c r="I26" s="107"/>
      <c r="J26" s="107"/>
      <c r="K26" s="107"/>
      <c r="L26" s="107"/>
      <c r="M26" s="107"/>
      <c r="N26" s="107"/>
      <c r="O26" s="108"/>
      <c r="S26" s="28"/>
      <c r="T26" s="28"/>
      <c r="U26" s="28"/>
      <c r="V26" s="28"/>
    </row>
    <row r="27" spans="2:22" ht="55.95" customHeight="1" x14ac:dyDescent="0.3">
      <c r="B27" s="421" t="s">
        <v>68</v>
      </c>
      <c r="C27" s="421"/>
      <c r="D27" s="421"/>
      <c r="E27" s="421"/>
      <c r="F27" s="421"/>
      <c r="G27" s="421"/>
      <c r="H27" s="421"/>
      <c r="I27" s="421"/>
      <c r="J27" s="421"/>
      <c r="K27" s="421"/>
      <c r="L27" s="421"/>
      <c r="M27" s="421"/>
      <c r="N27" s="421"/>
      <c r="O27" s="421"/>
      <c r="S27" s="28"/>
      <c r="T27" s="28"/>
      <c r="U27" s="28"/>
      <c r="V27" s="28"/>
    </row>
    <row r="28" spans="2:22" x14ac:dyDescent="0.3">
      <c r="B28" s="406"/>
      <c r="C28" s="415" t="s">
        <v>57</v>
      </c>
      <c r="D28" s="415"/>
      <c r="E28" s="415"/>
      <c r="F28" s="415"/>
      <c r="G28" s="415"/>
      <c r="H28" s="415"/>
      <c r="I28" s="415"/>
      <c r="J28" s="415"/>
      <c r="K28" s="415"/>
      <c r="L28" s="415"/>
      <c r="M28" s="415"/>
      <c r="N28" s="415"/>
      <c r="O28" s="415"/>
      <c r="S28" s="28"/>
      <c r="T28" s="28"/>
      <c r="U28" s="28"/>
      <c r="V28" s="28"/>
    </row>
    <row r="29" spans="2:22" x14ac:dyDescent="0.3">
      <c r="B29" s="406"/>
      <c r="C29" s="88" t="s">
        <v>24</v>
      </c>
      <c r="D29" s="88" t="s">
        <v>25</v>
      </c>
      <c r="E29" s="88" t="s">
        <v>26</v>
      </c>
      <c r="F29" s="88" t="s">
        <v>27</v>
      </c>
      <c r="G29" s="88" t="s">
        <v>17</v>
      </c>
      <c r="H29" s="88" t="s">
        <v>28</v>
      </c>
      <c r="I29" s="88" t="s">
        <v>29</v>
      </c>
      <c r="J29" s="88" t="s">
        <v>30</v>
      </c>
      <c r="K29" s="88" t="s">
        <v>31</v>
      </c>
      <c r="L29" s="88" t="s">
        <v>32</v>
      </c>
      <c r="M29" s="88" t="s">
        <v>33</v>
      </c>
      <c r="N29" s="88" t="s">
        <v>34</v>
      </c>
      <c r="O29" s="88" t="s">
        <v>38</v>
      </c>
      <c r="S29" s="28"/>
      <c r="T29" s="28"/>
      <c r="U29" s="28"/>
      <c r="V29" s="28"/>
    </row>
    <row r="30" spans="2:22" x14ac:dyDescent="0.3">
      <c r="B30" s="91" t="s">
        <v>64</v>
      </c>
      <c r="C30" s="111">
        <f>C24*$C$33</f>
        <v>3.1525245577318386</v>
      </c>
      <c r="D30" s="111">
        <f t="shared" ref="D30:N30" si="3">D24*$C$33</f>
        <v>2.3505818437840609</v>
      </c>
      <c r="E30" s="111">
        <f t="shared" si="3"/>
        <v>2.3709750612564449</v>
      </c>
      <c r="F30" s="111">
        <f t="shared" si="3"/>
        <v>1.3971819815636963</v>
      </c>
      <c r="G30" s="111">
        <f t="shared" si="3"/>
        <v>1.1249898740849904</v>
      </c>
      <c r="H30" s="111">
        <f t="shared" si="3"/>
        <v>0.96750203870650464</v>
      </c>
      <c r="I30" s="111">
        <f t="shared" si="3"/>
        <v>0.42286131773950508</v>
      </c>
      <c r="J30" s="111">
        <f t="shared" si="3"/>
        <v>0.43636787554068668</v>
      </c>
      <c r="K30" s="111">
        <f t="shared" si="3"/>
        <v>1.2398155711888557</v>
      </c>
      <c r="L30" s="111">
        <f t="shared" si="3"/>
        <v>1.7391176037367408</v>
      </c>
      <c r="M30" s="111">
        <f t="shared" si="3"/>
        <v>1.9404593410865272</v>
      </c>
      <c r="N30" s="111">
        <f t="shared" si="3"/>
        <v>2.2083734094292788</v>
      </c>
      <c r="O30" s="111">
        <f>AVERAGE(C30:N30)</f>
        <v>1.6125625396540941</v>
      </c>
      <c r="S30" s="28"/>
      <c r="T30" s="28"/>
      <c r="U30" s="28"/>
      <c r="V30" s="28"/>
    </row>
    <row r="31" spans="2:22" x14ac:dyDescent="0.3">
      <c r="B31" s="91" t="s">
        <v>65</v>
      </c>
      <c r="C31" s="111">
        <f>C24*$C$34</f>
        <v>6.3050491154636772</v>
      </c>
      <c r="D31" s="111">
        <f t="shared" ref="D31:N31" si="4">D24*$C$34</f>
        <v>4.7011636875681218</v>
      </c>
      <c r="E31" s="111">
        <f t="shared" si="4"/>
        <v>4.7419501225128897</v>
      </c>
      <c r="F31" s="111">
        <f t="shared" si="4"/>
        <v>2.7943639631273927</v>
      </c>
      <c r="G31" s="111">
        <f t="shared" si="4"/>
        <v>2.2499797481699808</v>
      </c>
      <c r="H31" s="111">
        <f t="shared" si="4"/>
        <v>1.9350040774130093</v>
      </c>
      <c r="I31" s="111">
        <f t="shared" si="4"/>
        <v>0.84572263547901017</v>
      </c>
      <c r="J31" s="111">
        <f t="shared" si="4"/>
        <v>0.87273575108137336</v>
      </c>
      <c r="K31" s="111">
        <f t="shared" si="4"/>
        <v>2.4796311423777113</v>
      </c>
      <c r="L31" s="111">
        <f t="shared" si="4"/>
        <v>3.4782352074734817</v>
      </c>
      <c r="M31" s="111">
        <f t="shared" si="4"/>
        <v>3.8809186821730544</v>
      </c>
      <c r="N31" s="111">
        <f t="shared" si="4"/>
        <v>4.4167468188585577</v>
      </c>
      <c r="O31" s="111">
        <f>AVERAGE(C31:N31)</f>
        <v>3.2251250793081883</v>
      </c>
      <c r="S31" s="28"/>
      <c r="T31" s="28"/>
      <c r="U31" s="28"/>
      <c r="V31" s="28"/>
    </row>
    <row r="32" spans="2:22" ht="8.4" customHeight="1" x14ac:dyDescent="0.3">
      <c r="B32" s="91"/>
      <c r="C32" s="113"/>
      <c r="D32" s="113"/>
      <c r="E32" s="113"/>
      <c r="F32" s="113"/>
      <c r="G32" s="113"/>
      <c r="H32" s="113"/>
      <c r="I32" s="113"/>
      <c r="J32" s="113"/>
      <c r="K32" s="113"/>
      <c r="L32" s="113"/>
      <c r="M32" s="113"/>
      <c r="N32" s="113"/>
      <c r="O32" s="113"/>
      <c r="S32" s="28"/>
      <c r="T32" s="28"/>
      <c r="U32" s="28"/>
      <c r="V32" s="28"/>
    </row>
    <row r="33" spans="2:22" x14ac:dyDescent="0.3">
      <c r="B33" s="91" t="s">
        <v>66</v>
      </c>
      <c r="C33" s="122">
        <f>'Ms_SFs, Short-term tar. 2020-23'!M21</f>
        <v>1.5</v>
      </c>
      <c r="D33" s="107"/>
      <c r="E33" s="107"/>
      <c r="F33" s="107"/>
      <c r="G33" s="107"/>
      <c r="H33" s="107"/>
      <c r="I33" s="107"/>
      <c r="J33" s="107"/>
      <c r="K33" s="107"/>
      <c r="L33" s="107"/>
      <c r="M33" s="107"/>
      <c r="N33" s="107"/>
      <c r="O33" s="108"/>
      <c r="S33" s="28"/>
      <c r="T33" s="28"/>
      <c r="U33" s="28"/>
      <c r="V33" s="28"/>
    </row>
    <row r="34" spans="2:22" x14ac:dyDescent="0.3">
      <c r="B34" s="91" t="s">
        <v>67</v>
      </c>
      <c r="C34" s="122">
        <f>'Ms_SFs, Short-term tar. 2020-23'!N21</f>
        <v>3</v>
      </c>
      <c r="D34" s="107"/>
      <c r="E34" s="107"/>
      <c r="F34" s="107"/>
      <c r="G34" s="107"/>
      <c r="H34" s="107"/>
      <c r="I34" s="107"/>
      <c r="J34" s="107"/>
      <c r="K34" s="107"/>
      <c r="L34" s="107"/>
      <c r="M34" s="107"/>
      <c r="N34" s="107"/>
      <c r="O34" s="108"/>
      <c r="S34" s="28"/>
      <c r="T34" s="28"/>
      <c r="U34" s="28"/>
      <c r="V34" s="28"/>
    </row>
    <row r="35" spans="2:22" x14ac:dyDescent="0.3">
      <c r="B35" s="89"/>
      <c r="C35" s="107"/>
      <c r="D35" s="107"/>
      <c r="E35" s="107"/>
      <c r="F35" s="107"/>
      <c r="G35" s="107"/>
      <c r="H35" s="107"/>
      <c r="I35" s="107"/>
      <c r="J35" s="107"/>
      <c r="K35" s="107"/>
      <c r="L35" s="107"/>
      <c r="M35" s="107"/>
      <c r="N35" s="107"/>
      <c r="O35" s="108"/>
      <c r="S35" s="28"/>
      <c r="T35" s="28"/>
      <c r="U35" s="28"/>
      <c r="V35" s="28"/>
    </row>
    <row r="36" spans="2:22" ht="162" customHeight="1" x14ac:dyDescent="0.3">
      <c r="B36" s="421" t="s">
        <v>148</v>
      </c>
      <c r="C36" s="421"/>
      <c r="D36" s="421"/>
      <c r="E36" s="421"/>
      <c r="F36" s="421"/>
      <c r="G36" s="421"/>
      <c r="H36" s="421"/>
      <c r="I36" s="421"/>
      <c r="J36" s="421"/>
      <c r="K36" s="421"/>
      <c r="L36" s="421"/>
      <c r="M36" s="421"/>
      <c r="N36" s="421"/>
      <c r="O36" s="109"/>
      <c r="S36" s="28"/>
      <c r="T36" s="28"/>
      <c r="U36" s="28"/>
      <c r="V36" s="28"/>
    </row>
    <row r="37" spans="2:22" ht="14.4" customHeight="1" x14ac:dyDescent="0.3">
      <c r="B37" s="406"/>
      <c r="C37" s="415" t="s">
        <v>57</v>
      </c>
      <c r="D37" s="415"/>
      <c r="E37" s="415"/>
      <c r="F37" s="415"/>
      <c r="G37" s="415"/>
      <c r="H37" s="415"/>
      <c r="I37" s="415"/>
      <c r="J37" s="415"/>
      <c r="K37" s="415"/>
      <c r="L37" s="415"/>
      <c r="M37" s="415"/>
      <c r="N37" s="415"/>
      <c r="O37" s="115"/>
      <c r="S37" s="28"/>
      <c r="T37" s="28"/>
      <c r="U37" s="28"/>
      <c r="V37" s="28"/>
    </row>
    <row r="38" spans="2:22" x14ac:dyDescent="0.3">
      <c r="B38" s="406"/>
      <c r="C38" s="88" t="s">
        <v>24</v>
      </c>
      <c r="D38" s="88" t="s">
        <v>25</v>
      </c>
      <c r="E38" s="88" t="s">
        <v>26</v>
      </c>
      <c r="F38" s="88" t="s">
        <v>27</v>
      </c>
      <c r="G38" s="88" t="s">
        <v>17</v>
      </c>
      <c r="H38" s="88" t="s">
        <v>28</v>
      </c>
      <c r="I38" s="88" t="s">
        <v>29</v>
      </c>
      <c r="J38" s="88" t="s">
        <v>30</v>
      </c>
      <c r="K38" s="88" t="s">
        <v>31</v>
      </c>
      <c r="L38" s="88" t="s">
        <v>32</v>
      </c>
      <c r="M38" s="88" t="s">
        <v>33</v>
      </c>
      <c r="N38" s="88" t="s">
        <v>34</v>
      </c>
      <c r="O38" s="116"/>
      <c r="S38" s="28"/>
      <c r="T38" s="28"/>
      <c r="U38" s="28"/>
      <c r="V38" s="28"/>
    </row>
    <row r="39" spans="2:22" x14ac:dyDescent="0.3">
      <c r="B39" s="91" t="s">
        <v>71</v>
      </c>
      <c r="C39" s="111">
        <f>C24*$C$42</f>
        <v>1.9549781668672999</v>
      </c>
      <c r="D39" s="111">
        <f t="shared" ref="D39:N39" si="5">D24*$C$42</f>
        <v>1.4576686398087091</v>
      </c>
      <c r="E39" s="111">
        <f t="shared" si="5"/>
        <v>1.4703151058966282</v>
      </c>
      <c r="F39" s="111">
        <f t="shared" si="5"/>
        <v>0.86643584183928857</v>
      </c>
      <c r="G39" s="111">
        <f t="shared" si="5"/>
        <v>0.69764108145927073</v>
      </c>
      <c r="H39" s="111">
        <f t="shared" si="5"/>
        <v>0.59997799459860979</v>
      </c>
      <c r="I39" s="111">
        <f t="shared" si="5"/>
        <v>0.26222940651356796</v>
      </c>
      <c r="J39" s="111">
        <f t="shared" si="5"/>
        <v>0.27060524153952537</v>
      </c>
      <c r="K39" s="111">
        <f t="shared" si="5"/>
        <v>0.76884805438603621</v>
      </c>
      <c r="L39" s="111">
        <f t="shared" si="5"/>
        <v>1.0784807168531856</v>
      </c>
      <c r="M39" s="111">
        <f t="shared" si="5"/>
        <v>1.2033389672457411</v>
      </c>
      <c r="N39" s="111">
        <f t="shared" si="5"/>
        <v>1.3694807829921376</v>
      </c>
      <c r="O39" s="114"/>
      <c r="S39" s="28"/>
      <c r="T39" s="28"/>
      <c r="U39" s="28"/>
      <c r="V39" s="28"/>
    </row>
    <row r="40" spans="2:22" x14ac:dyDescent="0.3">
      <c r="B40" s="91" t="s">
        <v>72</v>
      </c>
      <c r="C40" s="111">
        <f>C24*$C$43</f>
        <v>1.9549781668672999</v>
      </c>
      <c r="D40" s="111">
        <f t="shared" ref="D40:N40" si="6">D24*$C$43</f>
        <v>1.4576686398087091</v>
      </c>
      <c r="E40" s="111">
        <f t="shared" si="6"/>
        <v>1.4703151058966282</v>
      </c>
      <c r="F40" s="111">
        <f t="shared" si="6"/>
        <v>0.86643584183928857</v>
      </c>
      <c r="G40" s="111">
        <f t="shared" si="6"/>
        <v>0.69764108145927073</v>
      </c>
      <c r="H40" s="111">
        <f t="shared" si="6"/>
        <v>0.59997799459860979</v>
      </c>
      <c r="I40" s="111">
        <f t="shared" si="6"/>
        <v>0.26222940651356796</v>
      </c>
      <c r="J40" s="111">
        <f t="shared" si="6"/>
        <v>0.27060524153952537</v>
      </c>
      <c r="K40" s="111">
        <f t="shared" si="6"/>
        <v>0.76884805438603621</v>
      </c>
      <c r="L40" s="111">
        <f t="shared" si="6"/>
        <v>1.0784807168531856</v>
      </c>
      <c r="M40" s="111">
        <f t="shared" si="6"/>
        <v>1.2033389672457411</v>
      </c>
      <c r="N40" s="111">
        <f t="shared" si="6"/>
        <v>1.3694807829921376</v>
      </c>
      <c r="O40" s="114"/>
      <c r="S40" s="28"/>
      <c r="T40" s="28"/>
      <c r="U40" s="28"/>
      <c r="V40" s="28"/>
    </row>
    <row r="41" spans="2:22" ht="7.2" customHeight="1" x14ac:dyDescent="0.3">
      <c r="B41" s="91"/>
      <c r="C41" s="113"/>
      <c r="D41" s="113"/>
      <c r="E41" s="113"/>
      <c r="F41" s="113"/>
      <c r="G41" s="113"/>
      <c r="H41" s="113"/>
      <c r="I41" s="113"/>
      <c r="J41" s="113"/>
      <c r="K41" s="113"/>
      <c r="L41" s="113"/>
      <c r="M41" s="113"/>
      <c r="N41" s="113"/>
      <c r="O41" s="114"/>
      <c r="S41" s="28"/>
      <c r="T41" s="28"/>
      <c r="U41" s="28"/>
      <c r="V41" s="28"/>
    </row>
    <row r="42" spans="2:22" x14ac:dyDescent="0.3">
      <c r="B42" s="91" t="s">
        <v>70</v>
      </c>
      <c r="C42" s="111">
        <f>IF(O30&gt;1.5,1.5/O30,IF(O30&lt;1,1/O30,1))</f>
        <v>0.93019648113725895</v>
      </c>
      <c r="D42" s="114"/>
      <c r="E42" s="107"/>
      <c r="F42" s="107"/>
      <c r="G42" s="107"/>
      <c r="H42" s="107"/>
      <c r="I42" s="107"/>
      <c r="J42" s="107"/>
      <c r="K42" s="107"/>
      <c r="L42" s="107"/>
      <c r="M42" s="107"/>
      <c r="N42" s="107"/>
      <c r="O42" s="108"/>
      <c r="S42" s="28"/>
      <c r="T42" s="28"/>
      <c r="U42" s="28"/>
      <c r="V42" s="28"/>
    </row>
    <row r="43" spans="2:22" x14ac:dyDescent="0.3">
      <c r="B43" s="91" t="s">
        <v>69</v>
      </c>
      <c r="C43" s="111">
        <f>IF(O31&gt;3,3/O31,IF(O31&lt;1,1/O31,1))</f>
        <v>0.93019648113725895</v>
      </c>
      <c r="D43" s="114"/>
      <c r="E43" s="107"/>
      <c r="F43" s="107"/>
      <c r="G43" s="107"/>
      <c r="H43" s="107"/>
      <c r="I43" s="107"/>
      <c r="J43" s="107"/>
      <c r="K43" s="107"/>
      <c r="L43" s="107"/>
      <c r="M43" s="107"/>
      <c r="N43" s="107"/>
      <c r="O43" s="108"/>
      <c r="S43" s="28"/>
      <c r="T43" s="28"/>
      <c r="U43" s="28"/>
      <c r="V43" s="28"/>
    </row>
    <row r="44" spans="2:22" x14ac:dyDescent="0.3">
      <c r="B44" s="89"/>
      <c r="C44" s="107"/>
      <c r="D44" s="107"/>
      <c r="E44" s="107"/>
      <c r="F44" s="107"/>
      <c r="G44" s="107"/>
      <c r="H44" s="107"/>
      <c r="I44" s="107"/>
      <c r="J44" s="107"/>
      <c r="K44" s="107"/>
      <c r="L44" s="107"/>
      <c r="M44" s="107"/>
      <c r="N44" s="107"/>
      <c r="O44" s="108"/>
      <c r="S44" s="28"/>
      <c r="T44" s="28"/>
      <c r="U44" s="28"/>
      <c r="V44" s="28"/>
    </row>
    <row r="45" spans="2:22" ht="98.4" customHeight="1" x14ac:dyDescent="0.3">
      <c r="B45" s="421" t="s">
        <v>149</v>
      </c>
      <c r="C45" s="421"/>
      <c r="D45" s="421"/>
      <c r="E45" s="421"/>
      <c r="F45" s="421"/>
      <c r="G45" s="421"/>
      <c r="H45" s="421"/>
      <c r="I45" s="421"/>
      <c r="J45" s="421"/>
      <c r="K45" s="421"/>
      <c r="L45" s="421"/>
      <c r="M45" s="421"/>
      <c r="N45" s="421"/>
      <c r="O45" s="109"/>
      <c r="S45" s="28"/>
      <c r="T45" s="28"/>
      <c r="U45" s="28"/>
      <c r="V45" s="28"/>
    </row>
    <row r="46" spans="2:22" ht="14.4" customHeight="1" x14ac:dyDescent="0.3">
      <c r="B46" s="406"/>
      <c r="C46" s="415" t="s">
        <v>74</v>
      </c>
      <c r="D46" s="415"/>
      <c r="E46" s="415"/>
      <c r="F46" s="415"/>
      <c r="G46" s="115"/>
      <c r="H46" s="115"/>
      <c r="I46" s="115"/>
      <c r="J46" s="115"/>
      <c r="K46" s="115"/>
      <c r="L46" s="115"/>
      <c r="M46" s="115"/>
      <c r="N46" s="115"/>
      <c r="O46" s="115"/>
      <c r="S46" s="28"/>
      <c r="T46" s="28"/>
      <c r="U46" s="28"/>
      <c r="V46" s="28"/>
    </row>
    <row r="47" spans="2:22" x14ac:dyDescent="0.3">
      <c r="B47" s="406"/>
      <c r="C47" s="88" t="s">
        <v>39</v>
      </c>
      <c r="D47" s="88" t="s">
        <v>40</v>
      </c>
      <c r="E47" s="88" t="s">
        <v>41</v>
      </c>
      <c r="F47" s="88" t="s">
        <v>42</v>
      </c>
      <c r="G47" s="116"/>
      <c r="H47" s="116"/>
      <c r="I47" s="116"/>
      <c r="J47" s="116"/>
      <c r="K47" s="116"/>
      <c r="L47" s="116"/>
      <c r="M47" s="116"/>
      <c r="N47" s="116"/>
      <c r="O47" s="116"/>
      <c r="S47" s="28"/>
      <c r="T47" s="28"/>
      <c r="U47" s="28"/>
      <c r="V47" s="28"/>
    </row>
    <row r="48" spans="2:22" x14ac:dyDescent="0.3">
      <c r="B48" s="91" t="s">
        <v>73</v>
      </c>
      <c r="C48" s="111">
        <f>AVERAGE(C39:E39)</f>
        <v>1.6276539708575459</v>
      </c>
      <c r="D48" s="111">
        <f>AVERAGE(F39:H39)</f>
        <v>0.72135163929905632</v>
      </c>
      <c r="E48" s="111">
        <f>AVERAGE(I39:K39)</f>
        <v>0.43389423414637651</v>
      </c>
      <c r="F48" s="111">
        <f>AVERAGE(L39:N39)</f>
        <v>1.2171001556970213</v>
      </c>
      <c r="G48" s="114"/>
      <c r="H48" s="114"/>
      <c r="I48" s="114"/>
      <c r="J48" s="114"/>
      <c r="K48" s="114"/>
      <c r="L48" s="114"/>
      <c r="M48" s="114"/>
      <c r="N48" s="114"/>
      <c r="O48" s="114"/>
      <c r="S48" s="28"/>
      <c r="T48" s="28"/>
      <c r="U48" s="28"/>
      <c r="V48" s="28"/>
    </row>
    <row r="49" spans="2:22" x14ac:dyDescent="0.3">
      <c r="B49" s="89"/>
      <c r="C49" s="107"/>
      <c r="D49" s="107"/>
      <c r="E49" s="107"/>
      <c r="F49" s="107"/>
      <c r="G49" s="107"/>
      <c r="H49" s="107"/>
      <c r="I49" s="107"/>
      <c r="J49" s="107"/>
      <c r="K49" s="107"/>
      <c r="L49" s="107"/>
      <c r="M49" s="107"/>
      <c r="N49" s="107"/>
      <c r="O49" s="108"/>
      <c r="S49" s="28"/>
      <c r="T49" s="28"/>
      <c r="U49" s="28"/>
      <c r="V49" s="28"/>
    </row>
    <row r="50" spans="2:22" ht="29.4" customHeight="1" x14ac:dyDescent="0.3">
      <c r="B50" s="421" t="s">
        <v>75</v>
      </c>
      <c r="C50" s="421"/>
      <c r="D50" s="421"/>
      <c r="E50" s="421"/>
      <c r="F50" s="421"/>
      <c r="G50" s="421"/>
      <c r="H50" s="421"/>
      <c r="I50" s="421"/>
      <c r="J50" s="421"/>
      <c r="K50" s="421"/>
      <c r="L50" s="421"/>
      <c r="M50" s="421"/>
      <c r="N50" s="421"/>
      <c r="O50" s="108"/>
      <c r="S50" s="28"/>
      <c r="T50" s="28"/>
      <c r="U50" s="28"/>
      <c r="V50" s="28"/>
    </row>
    <row r="51" spans="2:22" ht="14.4" customHeight="1" x14ac:dyDescent="0.3">
      <c r="B51" s="406"/>
      <c r="C51" s="407" t="s">
        <v>57</v>
      </c>
      <c r="D51" s="408"/>
      <c r="E51" s="408"/>
      <c r="F51" s="408"/>
      <c r="G51" s="408"/>
      <c r="H51" s="408"/>
      <c r="I51" s="408"/>
      <c r="J51" s="408"/>
      <c r="K51" s="408"/>
      <c r="L51" s="408"/>
      <c r="M51" s="408"/>
      <c r="N51" s="408"/>
      <c r="O51" s="409"/>
      <c r="S51" s="28"/>
      <c r="T51" s="28"/>
      <c r="U51" s="28"/>
      <c r="V51" s="28"/>
    </row>
    <row r="52" spans="2:22" x14ac:dyDescent="0.3">
      <c r="B52" s="406"/>
      <c r="C52" s="88" t="s">
        <v>24</v>
      </c>
      <c r="D52" s="88" t="s">
        <v>25</v>
      </c>
      <c r="E52" s="88" t="s">
        <v>26</v>
      </c>
      <c r="F52" s="88" t="s">
        <v>27</v>
      </c>
      <c r="G52" s="88" t="s">
        <v>17</v>
      </c>
      <c r="H52" s="88" t="s">
        <v>28</v>
      </c>
      <c r="I52" s="88" t="s">
        <v>29</v>
      </c>
      <c r="J52" s="88" t="s">
        <v>30</v>
      </c>
      <c r="K52" s="88" t="s">
        <v>31</v>
      </c>
      <c r="L52" s="88" t="s">
        <v>32</v>
      </c>
      <c r="M52" s="88" t="s">
        <v>33</v>
      </c>
      <c r="N52" s="88" t="s">
        <v>34</v>
      </c>
      <c r="O52" s="90" t="s">
        <v>38</v>
      </c>
      <c r="S52" s="28"/>
      <c r="T52" s="28"/>
      <c r="U52" s="28"/>
      <c r="V52" s="28"/>
    </row>
    <row r="53" spans="2:22" x14ac:dyDescent="0.3">
      <c r="B53" s="91" t="s">
        <v>76</v>
      </c>
      <c r="C53" s="123">
        <f>ROUND(C39,2)</f>
        <v>1.95</v>
      </c>
      <c r="D53" s="123">
        <f t="shared" ref="D53:N53" si="7">ROUND(D39,2)</f>
        <v>1.46</v>
      </c>
      <c r="E53" s="123">
        <f t="shared" si="7"/>
        <v>1.47</v>
      </c>
      <c r="F53" s="123">
        <f t="shared" si="7"/>
        <v>0.87</v>
      </c>
      <c r="G53" s="123">
        <f t="shared" si="7"/>
        <v>0.7</v>
      </c>
      <c r="H53" s="123">
        <f t="shared" si="7"/>
        <v>0.6</v>
      </c>
      <c r="I53" s="123">
        <f t="shared" si="7"/>
        <v>0.26</v>
      </c>
      <c r="J53" s="123">
        <f t="shared" si="7"/>
        <v>0.27</v>
      </c>
      <c r="K53" s="123">
        <f t="shared" si="7"/>
        <v>0.77</v>
      </c>
      <c r="L53" s="123">
        <f t="shared" si="7"/>
        <v>1.08</v>
      </c>
      <c r="M53" s="123">
        <f t="shared" si="7"/>
        <v>1.2</v>
      </c>
      <c r="N53" s="123">
        <f t="shared" si="7"/>
        <v>1.37</v>
      </c>
      <c r="O53" s="123">
        <f>AVERAGE(C53:N53)</f>
        <v>1</v>
      </c>
      <c r="S53" s="28"/>
      <c r="T53" s="28"/>
      <c r="U53" s="28"/>
      <c r="V53" s="28"/>
    </row>
    <row r="54" spans="2:22" x14ac:dyDescent="0.3">
      <c r="B54" s="91" t="s">
        <v>77</v>
      </c>
      <c r="C54" s="123">
        <f>ROUND(C40,2)</f>
        <v>1.95</v>
      </c>
      <c r="D54" s="123">
        <f t="shared" ref="D54:N54" si="8">ROUND(D40,2)</f>
        <v>1.46</v>
      </c>
      <c r="E54" s="123">
        <f t="shared" si="8"/>
        <v>1.47</v>
      </c>
      <c r="F54" s="123">
        <f t="shared" si="8"/>
        <v>0.87</v>
      </c>
      <c r="G54" s="123">
        <f t="shared" si="8"/>
        <v>0.7</v>
      </c>
      <c r="H54" s="123">
        <f t="shared" si="8"/>
        <v>0.6</v>
      </c>
      <c r="I54" s="123">
        <f t="shared" si="8"/>
        <v>0.26</v>
      </c>
      <c r="J54" s="123">
        <f t="shared" si="8"/>
        <v>0.27</v>
      </c>
      <c r="K54" s="123">
        <f t="shared" si="8"/>
        <v>0.77</v>
      </c>
      <c r="L54" s="123">
        <f t="shared" si="8"/>
        <v>1.08</v>
      </c>
      <c r="M54" s="123">
        <f t="shared" si="8"/>
        <v>1.2</v>
      </c>
      <c r="N54" s="123">
        <f t="shared" si="8"/>
        <v>1.37</v>
      </c>
      <c r="O54" s="123">
        <f>AVERAGE(C54:N54)</f>
        <v>1</v>
      </c>
      <c r="S54" s="28"/>
      <c r="T54" s="28"/>
      <c r="U54" s="28"/>
      <c r="V54" s="28"/>
    </row>
    <row r="55" spans="2:22" x14ac:dyDescent="0.3">
      <c r="B55" s="117"/>
      <c r="C55" s="88" t="s">
        <v>39</v>
      </c>
      <c r="D55" s="88" t="s">
        <v>40</v>
      </c>
      <c r="E55" s="88" t="s">
        <v>41</v>
      </c>
      <c r="F55" s="88" t="s">
        <v>42</v>
      </c>
      <c r="G55" s="90" t="s">
        <v>38</v>
      </c>
      <c r="H55" s="116"/>
      <c r="I55" s="116"/>
      <c r="J55" s="116"/>
      <c r="K55" s="116"/>
      <c r="L55" s="116"/>
      <c r="M55" s="116"/>
      <c r="N55" s="116"/>
      <c r="O55" s="108"/>
      <c r="S55" s="28"/>
      <c r="T55" s="28"/>
      <c r="U55" s="28"/>
      <c r="V55" s="28"/>
    </row>
    <row r="56" spans="2:22" x14ac:dyDescent="0.3">
      <c r="B56" s="91" t="s">
        <v>78</v>
      </c>
      <c r="C56" s="123">
        <f>ROUND(C48,2)</f>
        <v>1.63</v>
      </c>
      <c r="D56" s="123">
        <f t="shared" ref="D56:F56" si="9">ROUND(D48,2)</f>
        <v>0.72</v>
      </c>
      <c r="E56" s="123">
        <f t="shared" si="9"/>
        <v>0.43</v>
      </c>
      <c r="F56" s="123">
        <f t="shared" si="9"/>
        <v>1.22</v>
      </c>
      <c r="G56" s="123">
        <f>AVERAGE(C56:F56)</f>
        <v>1</v>
      </c>
      <c r="H56" s="114"/>
      <c r="I56" s="114"/>
      <c r="J56" s="114"/>
      <c r="K56" s="114"/>
      <c r="L56" s="114"/>
      <c r="M56" s="114"/>
      <c r="N56" s="114"/>
      <c r="O56" s="108"/>
      <c r="S56" s="28"/>
      <c r="T56" s="28"/>
      <c r="U56" s="28"/>
      <c r="V56" s="28"/>
    </row>
    <row r="57" spans="2:22" x14ac:dyDescent="0.3">
      <c r="B57" s="89"/>
      <c r="C57" s="107"/>
      <c r="D57" s="107"/>
      <c r="E57" s="107"/>
      <c r="F57" s="107"/>
      <c r="G57" s="107"/>
      <c r="H57" s="107"/>
      <c r="I57" s="107"/>
      <c r="J57" s="107"/>
      <c r="K57" s="107"/>
      <c r="L57" s="107"/>
      <c r="M57" s="107"/>
      <c r="N57" s="107"/>
      <c r="O57" s="108"/>
      <c r="S57" s="28"/>
      <c r="T57" s="28"/>
      <c r="U57" s="28"/>
      <c r="V57" s="28"/>
    </row>
    <row r="58" spans="2:22" x14ac:dyDescent="0.3">
      <c r="C58" s="140"/>
      <c r="D58" s="118"/>
      <c r="E58" s="118"/>
      <c r="F58" s="118"/>
      <c r="S58" s="82"/>
    </row>
    <row r="59" spans="2:22" x14ac:dyDescent="0.3">
      <c r="B59" s="141"/>
      <c r="C59" s="139"/>
    </row>
  </sheetData>
  <mergeCells count="24">
    <mergeCell ref="C17:N17"/>
    <mergeCell ref="C22:N22"/>
    <mergeCell ref="B17:B18"/>
    <mergeCell ref="B45:N45"/>
    <mergeCell ref="C46:F46"/>
    <mergeCell ref="B28:B29"/>
    <mergeCell ref="C28:O28"/>
    <mergeCell ref="B37:B38"/>
    <mergeCell ref="B7:B8"/>
    <mergeCell ref="B6:O6"/>
    <mergeCell ref="C51:O51"/>
    <mergeCell ref="C7:O7"/>
    <mergeCell ref="B11:O11"/>
    <mergeCell ref="B12:B13"/>
    <mergeCell ref="C12:O12"/>
    <mergeCell ref="B22:B23"/>
    <mergeCell ref="B27:O27"/>
    <mergeCell ref="B50:N50"/>
    <mergeCell ref="B51:B52"/>
    <mergeCell ref="B16:N16"/>
    <mergeCell ref="B21:N21"/>
    <mergeCell ref="C37:N37"/>
    <mergeCell ref="B36:N36"/>
    <mergeCell ref="B46:B47"/>
  </mergeCells>
  <dataValidations count="2">
    <dataValidation operator="greaterThan" allowBlank="1" showInputMessage="1" showErrorMessage="1" sqref="C9:N9"/>
    <dataValidation type="decimal" allowBlank="1" showInputMessage="1" showErrorMessage="1" errorTitle="Invalid data" error="Values between 0 and 2 must be entered." sqref="C25">
      <formula1>0</formula1>
      <formula2>2</formula2>
    </dataValidation>
  </dataValidations>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8"/>
  <sheetViews>
    <sheetView showGridLines="0" zoomScale="80" zoomScaleNormal="80" workbookViewId="0">
      <selection activeCell="B90" sqref="B90"/>
    </sheetView>
  </sheetViews>
  <sheetFormatPr defaultRowHeight="14.4" x14ac:dyDescent="0.3"/>
  <cols>
    <col min="1" max="1" width="2.109375" customWidth="1"/>
    <col min="2" max="2" width="40.6640625" customWidth="1"/>
    <col min="3" max="14" width="8.6640625" customWidth="1"/>
    <col min="15" max="15" width="9.6640625" customWidth="1"/>
    <col min="16" max="30" width="6.6640625" customWidth="1"/>
  </cols>
  <sheetData>
    <row r="1" spans="2:23" ht="25.2" customHeight="1" x14ac:dyDescent="0.3">
      <c r="B1" s="143" t="s">
        <v>100</v>
      </c>
      <c r="C1" s="143"/>
      <c r="D1" s="143"/>
      <c r="E1" s="143"/>
      <c r="F1" s="143"/>
      <c r="G1" s="143"/>
      <c r="H1" s="143"/>
      <c r="I1" s="143"/>
      <c r="J1" s="143"/>
      <c r="K1" s="143"/>
      <c r="L1" s="143"/>
      <c r="M1" s="143"/>
      <c r="N1" s="143"/>
      <c r="O1" s="143"/>
      <c r="P1" s="143"/>
      <c r="Q1" s="143"/>
      <c r="R1" s="143"/>
      <c r="S1" s="143"/>
      <c r="T1" s="143"/>
      <c r="U1" s="143"/>
    </row>
    <row r="2" spans="2:23" ht="15.6" x14ac:dyDescent="0.3">
      <c r="B2" s="23" t="s">
        <v>51</v>
      </c>
      <c r="C2" s="23"/>
      <c r="D2" s="23"/>
      <c r="E2" s="23"/>
      <c r="F2" s="23"/>
      <c r="G2" s="23"/>
      <c r="H2" s="23"/>
      <c r="I2" s="23"/>
      <c r="J2" s="23"/>
      <c r="K2" s="23"/>
      <c r="L2" s="23"/>
      <c r="M2" s="23"/>
      <c r="N2" s="23"/>
      <c r="O2" s="23"/>
      <c r="P2" s="23"/>
      <c r="Q2" s="23"/>
      <c r="R2" s="23"/>
      <c r="S2" s="23"/>
      <c r="T2" s="23"/>
      <c r="U2" s="23"/>
      <c r="V2" s="142"/>
    </row>
    <row r="3" spans="2:23" ht="14.4" customHeight="1" x14ac:dyDescent="0.3">
      <c r="B3" s="24" t="s">
        <v>141</v>
      </c>
      <c r="C3" s="4"/>
      <c r="D3" s="4"/>
      <c r="E3" s="4"/>
      <c r="F3" s="4"/>
      <c r="G3" s="4"/>
      <c r="H3" s="4"/>
      <c r="I3" s="4"/>
      <c r="J3" s="4"/>
      <c r="K3" s="4"/>
      <c r="L3" s="4"/>
      <c r="M3" s="4"/>
      <c r="N3" s="4"/>
      <c r="O3" s="4"/>
      <c r="P3" s="4"/>
      <c r="Q3" s="4"/>
      <c r="R3" s="4"/>
      <c r="S3" s="27"/>
      <c r="T3" s="27"/>
      <c r="U3" s="27"/>
      <c r="V3" s="27"/>
    </row>
    <row r="4" spans="2:23" x14ac:dyDescent="0.3">
      <c r="B4" s="212" t="s">
        <v>137</v>
      </c>
      <c r="C4" s="3"/>
      <c r="D4" s="3"/>
      <c r="E4" s="3"/>
      <c r="F4" s="3"/>
    </row>
    <row r="5" spans="2:23" x14ac:dyDescent="0.3">
      <c r="B5" s="10"/>
      <c r="C5" s="3"/>
      <c r="D5" s="3"/>
      <c r="E5" s="3"/>
      <c r="F5" s="3"/>
    </row>
    <row r="6" spans="2:23" ht="41.4" customHeight="1" x14ac:dyDescent="0.3">
      <c r="B6" s="421" t="s">
        <v>55</v>
      </c>
      <c r="C6" s="421"/>
      <c r="D6" s="421"/>
      <c r="E6" s="421"/>
      <c r="F6" s="421"/>
      <c r="G6" s="421"/>
      <c r="H6" s="421"/>
      <c r="I6" s="421"/>
      <c r="J6" s="421"/>
      <c r="K6" s="421"/>
      <c r="L6" s="421"/>
      <c r="M6" s="421"/>
      <c r="N6" s="421"/>
      <c r="O6" s="421"/>
      <c r="P6" s="109"/>
      <c r="Q6" s="109"/>
      <c r="R6" s="109"/>
      <c r="W6" s="8"/>
    </row>
    <row r="7" spans="2:23" ht="14.4" customHeight="1" x14ac:dyDescent="0.3">
      <c r="B7" s="406"/>
      <c r="C7" s="415" t="s">
        <v>54</v>
      </c>
      <c r="D7" s="415"/>
      <c r="E7" s="415"/>
      <c r="F7" s="415"/>
      <c r="G7" s="415"/>
      <c r="H7" s="415"/>
      <c r="I7" s="415"/>
      <c r="J7" s="415"/>
      <c r="K7" s="415"/>
      <c r="L7" s="415"/>
      <c r="M7" s="415"/>
      <c r="N7" s="415"/>
      <c r="O7" s="415"/>
      <c r="P7" s="100"/>
      <c r="Q7" s="100"/>
      <c r="R7" s="100"/>
      <c r="S7" s="95"/>
      <c r="T7" s="95"/>
      <c r="U7" s="95"/>
      <c r="V7" s="95"/>
      <c r="W7" s="8"/>
    </row>
    <row r="8" spans="2:23" x14ac:dyDescent="0.3">
      <c r="B8" s="406"/>
      <c r="C8" s="144" t="s">
        <v>24</v>
      </c>
      <c r="D8" s="144" t="s">
        <v>25</v>
      </c>
      <c r="E8" s="144" t="s">
        <v>26</v>
      </c>
      <c r="F8" s="144" t="s">
        <v>27</v>
      </c>
      <c r="G8" s="144" t="s">
        <v>17</v>
      </c>
      <c r="H8" s="144" t="s">
        <v>28</v>
      </c>
      <c r="I8" s="144" t="s">
        <v>29</v>
      </c>
      <c r="J8" s="144" t="s">
        <v>30</v>
      </c>
      <c r="K8" s="144" t="s">
        <v>31</v>
      </c>
      <c r="L8" s="144" t="s">
        <v>32</v>
      </c>
      <c r="M8" s="144" t="s">
        <v>33</v>
      </c>
      <c r="N8" s="144" t="s">
        <v>34</v>
      </c>
      <c r="O8" s="144" t="s">
        <v>53</v>
      </c>
      <c r="P8" s="110"/>
      <c r="Q8" s="110"/>
      <c r="R8" s="110"/>
      <c r="S8" s="28"/>
      <c r="T8" s="28"/>
      <c r="U8" s="28"/>
      <c r="V8" s="28"/>
    </row>
    <row r="9" spans="2:23" x14ac:dyDescent="0.3">
      <c r="B9" s="91" t="s">
        <v>52</v>
      </c>
      <c r="C9" s="161">
        <v>3018156.1039999998</v>
      </c>
      <c r="D9" s="161">
        <v>2851544.7279999997</v>
      </c>
      <c r="E9" s="161">
        <v>3087778.8119999999</v>
      </c>
      <c r="F9" s="161">
        <v>2034297.7419999996</v>
      </c>
      <c r="G9" s="161">
        <v>1817576.2040000001</v>
      </c>
      <c r="H9" s="161">
        <v>1915633.8319999997</v>
      </c>
      <c r="I9" s="161">
        <v>1548964.4829999998</v>
      </c>
      <c r="J9" s="161">
        <v>1937946.469</v>
      </c>
      <c r="K9" s="161">
        <v>2166942.5719999997</v>
      </c>
      <c r="L9" s="161">
        <v>2436310.659</v>
      </c>
      <c r="M9" s="161">
        <v>2523412.1139999996</v>
      </c>
      <c r="N9" s="161">
        <v>2493589.0240000002</v>
      </c>
      <c r="O9" s="112">
        <f>SUM(C9:N9)</f>
        <v>27832152.742999997</v>
      </c>
      <c r="S9" s="28"/>
      <c r="T9" s="28"/>
      <c r="U9" s="28"/>
      <c r="V9" s="28"/>
    </row>
    <row r="10" spans="2:23" x14ac:dyDescent="0.3">
      <c r="B10" s="89"/>
      <c r="C10" s="107"/>
      <c r="D10" s="107"/>
      <c r="E10" s="107"/>
      <c r="F10" s="107"/>
      <c r="G10" s="107"/>
      <c r="H10" s="107"/>
      <c r="I10" s="107"/>
      <c r="J10" s="107"/>
      <c r="K10" s="107"/>
      <c r="L10" s="107"/>
      <c r="M10" s="107"/>
      <c r="N10" s="107"/>
      <c r="O10" s="108"/>
      <c r="S10" s="28"/>
      <c r="T10" s="28"/>
      <c r="U10" s="28"/>
      <c r="V10" s="28"/>
    </row>
    <row r="11" spans="2:23" ht="40.200000000000003" customHeight="1" x14ac:dyDescent="0.3">
      <c r="B11" s="421" t="s">
        <v>58</v>
      </c>
      <c r="C11" s="421"/>
      <c r="D11" s="421"/>
      <c r="E11" s="421"/>
      <c r="F11" s="421"/>
      <c r="G11" s="421"/>
      <c r="H11" s="421"/>
      <c r="I11" s="421"/>
      <c r="J11" s="421"/>
      <c r="K11" s="421"/>
      <c r="L11" s="421"/>
      <c r="M11" s="421"/>
      <c r="N11" s="421"/>
      <c r="O11" s="421"/>
      <c r="S11" s="28"/>
      <c r="T11" s="28"/>
      <c r="U11" s="28"/>
      <c r="V11" s="28"/>
    </row>
    <row r="12" spans="2:23" x14ac:dyDescent="0.3">
      <c r="B12" s="406"/>
      <c r="C12" s="415" t="s">
        <v>57</v>
      </c>
      <c r="D12" s="415"/>
      <c r="E12" s="415"/>
      <c r="F12" s="415"/>
      <c r="G12" s="415"/>
      <c r="H12" s="415"/>
      <c r="I12" s="415"/>
      <c r="J12" s="415"/>
      <c r="K12" s="415"/>
      <c r="L12" s="415"/>
      <c r="M12" s="415"/>
      <c r="N12" s="415"/>
      <c r="O12" s="415"/>
      <c r="S12" s="28"/>
      <c r="T12" s="28"/>
      <c r="U12" s="28"/>
      <c r="V12" s="28"/>
    </row>
    <row r="13" spans="2:23" x14ac:dyDescent="0.3">
      <c r="B13" s="406"/>
      <c r="C13" s="144" t="s">
        <v>24</v>
      </c>
      <c r="D13" s="144" t="s">
        <v>25</v>
      </c>
      <c r="E13" s="144" t="s">
        <v>26</v>
      </c>
      <c r="F13" s="144" t="s">
        <v>27</v>
      </c>
      <c r="G13" s="144" t="s">
        <v>17</v>
      </c>
      <c r="H13" s="144" t="s">
        <v>28</v>
      </c>
      <c r="I13" s="144" t="s">
        <v>29</v>
      </c>
      <c r="J13" s="144" t="s">
        <v>30</v>
      </c>
      <c r="K13" s="144" t="s">
        <v>31</v>
      </c>
      <c r="L13" s="144" t="s">
        <v>32</v>
      </c>
      <c r="M13" s="144" t="s">
        <v>33</v>
      </c>
      <c r="N13" s="144" t="s">
        <v>34</v>
      </c>
      <c r="O13" s="144" t="s">
        <v>53</v>
      </c>
      <c r="S13" s="28"/>
      <c r="T13" s="28"/>
      <c r="U13" s="28"/>
      <c r="V13" s="28"/>
    </row>
    <row r="14" spans="2:23" x14ac:dyDescent="0.3">
      <c r="B14" s="91" t="s">
        <v>56</v>
      </c>
      <c r="C14" s="111">
        <f>C9/$O$9</f>
        <v>0.10844134594508108</v>
      </c>
      <c r="D14" s="111">
        <f t="shared" ref="D14:N14" si="0">D9/$O$9</f>
        <v>0.1024550545669589</v>
      </c>
      <c r="E14" s="111">
        <f t="shared" si="0"/>
        <v>0.110942866709317</v>
      </c>
      <c r="F14" s="111">
        <f t="shared" si="0"/>
        <v>7.3091641914463171E-2</v>
      </c>
      <c r="G14" s="111">
        <f t="shared" si="0"/>
        <v>6.5304909066264544E-2</v>
      </c>
      <c r="H14" s="111">
        <f t="shared" si="0"/>
        <v>6.8828087057757198E-2</v>
      </c>
      <c r="I14" s="111">
        <f t="shared" si="0"/>
        <v>5.5653779184924042E-2</v>
      </c>
      <c r="J14" s="111">
        <f t="shared" si="0"/>
        <v>6.9629772691133587E-2</v>
      </c>
      <c r="K14" s="111">
        <f t="shared" si="0"/>
        <v>7.7857526581194936E-2</v>
      </c>
      <c r="L14" s="111">
        <f t="shared" si="0"/>
        <v>8.7535832441590453E-2</v>
      </c>
      <c r="M14" s="111">
        <f t="shared" si="0"/>
        <v>9.0665358777705665E-2</v>
      </c>
      <c r="N14" s="111">
        <f t="shared" si="0"/>
        <v>8.9593825063609467E-2</v>
      </c>
      <c r="O14" s="111">
        <f>SUM(C14:N14)</f>
        <v>1</v>
      </c>
      <c r="S14" s="28"/>
      <c r="T14" s="28"/>
      <c r="U14" s="28"/>
      <c r="V14" s="28"/>
    </row>
    <row r="15" spans="2:23" x14ac:dyDescent="0.3">
      <c r="B15" s="89"/>
      <c r="C15" s="107"/>
      <c r="D15" s="107"/>
      <c r="E15" s="114"/>
      <c r="F15" s="114"/>
      <c r="G15" s="107"/>
      <c r="H15" s="107"/>
      <c r="I15" s="107"/>
      <c r="J15" s="107"/>
      <c r="K15" s="107"/>
      <c r="L15" s="107"/>
      <c r="M15" s="107"/>
      <c r="N15" s="107"/>
      <c r="O15" s="108"/>
      <c r="S15" s="28"/>
      <c r="T15" s="28"/>
      <c r="U15" s="28"/>
      <c r="V15" s="28"/>
    </row>
    <row r="16" spans="2:23" ht="41.4" customHeight="1" x14ac:dyDescent="0.3">
      <c r="B16" s="421" t="s">
        <v>59</v>
      </c>
      <c r="C16" s="421"/>
      <c r="D16" s="421"/>
      <c r="E16" s="421"/>
      <c r="F16" s="421"/>
      <c r="G16" s="421"/>
      <c r="H16" s="421"/>
      <c r="I16" s="421"/>
      <c r="J16" s="421"/>
      <c r="K16" s="421"/>
      <c r="L16" s="421"/>
      <c r="M16" s="421"/>
      <c r="N16" s="421"/>
      <c r="O16" s="109"/>
      <c r="S16" s="28"/>
      <c r="T16" s="28"/>
      <c r="U16" s="28"/>
      <c r="V16" s="28"/>
    </row>
    <row r="17" spans="2:22" ht="14.4" customHeight="1" x14ac:dyDescent="0.3">
      <c r="B17" s="406"/>
      <c r="C17" s="415" t="s">
        <v>57</v>
      </c>
      <c r="D17" s="415"/>
      <c r="E17" s="415"/>
      <c r="F17" s="415"/>
      <c r="G17" s="415"/>
      <c r="H17" s="415"/>
      <c r="I17" s="415"/>
      <c r="J17" s="415"/>
      <c r="K17" s="415"/>
      <c r="L17" s="415"/>
      <c r="M17" s="415"/>
      <c r="N17" s="415"/>
      <c r="O17" s="115"/>
      <c r="S17" s="28"/>
      <c r="T17" s="28"/>
      <c r="U17" s="28"/>
      <c r="V17" s="28"/>
    </row>
    <row r="18" spans="2:22" x14ac:dyDescent="0.3">
      <c r="B18" s="406"/>
      <c r="C18" s="144" t="s">
        <v>24</v>
      </c>
      <c r="D18" s="144" t="s">
        <v>25</v>
      </c>
      <c r="E18" s="144" t="s">
        <v>26</v>
      </c>
      <c r="F18" s="144" t="s">
        <v>27</v>
      </c>
      <c r="G18" s="144" t="s">
        <v>17</v>
      </c>
      <c r="H18" s="144" t="s">
        <v>28</v>
      </c>
      <c r="I18" s="144" t="s">
        <v>29</v>
      </c>
      <c r="J18" s="144" t="s">
        <v>30</v>
      </c>
      <c r="K18" s="144" t="s">
        <v>31</v>
      </c>
      <c r="L18" s="144" t="s">
        <v>32</v>
      </c>
      <c r="M18" s="144" t="s">
        <v>33</v>
      </c>
      <c r="N18" s="144" t="s">
        <v>34</v>
      </c>
      <c r="O18" s="116"/>
      <c r="S18" s="28"/>
      <c r="T18" s="28"/>
      <c r="U18" s="28"/>
      <c r="V18" s="28"/>
    </row>
    <row r="19" spans="2:22" x14ac:dyDescent="0.3">
      <c r="B19" s="91" t="s">
        <v>60</v>
      </c>
      <c r="C19" s="111">
        <f>IF(C14&gt;0,C14*12,MIN(0.1,SMALL($C$14:$N$14,COUNTIF($C$14:$N$14,0)+1))*12)</f>
        <v>1.3012961513409729</v>
      </c>
      <c r="D19" s="111">
        <f t="shared" ref="D19:N19" si="1">IF(D14&gt;0,D14*12,MIN(0.1,SMALL($C$14:$N$14,COUNTIF($C$14:$N$14,0)+1))*12)</f>
        <v>1.2294606548035067</v>
      </c>
      <c r="E19" s="111">
        <f t="shared" si="1"/>
        <v>1.3313144005118041</v>
      </c>
      <c r="F19" s="111">
        <f t="shared" si="1"/>
        <v>0.8770997029735581</v>
      </c>
      <c r="G19" s="111">
        <f t="shared" si="1"/>
        <v>0.78365890879517452</v>
      </c>
      <c r="H19" s="111">
        <f t="shared" si="1"/>
        <v>0.82593704469308638</v>
      </c>
      <c r="I19" s="111">
        <f t="shared" si="1"/>
        <v>0.66784535021908853</v>
      </c>
      <c r="J19" s="111">
        <f t="shared" si="1"/>
        <v>0.8355572722936031</v>
      </c>
      <c r="K19" s="111">
        <f t="shared" si="1"/>
        <v>0.93429031897433923</v>
      </c>
      <c r="L19" s="111">
        <f t="shared" si="1"/>
        <v>1.0504299892990854</v>
      </c>
      <c r="M19" s="111">
        <f t="shared" si="1"/>
        <v>1.087984305332468</v>
      </c>
      <c r="N19" s="111">
        <f t="shared" si="1"/>
        <v>1.0751259007633136</v>
      </c>
      <c r="O19" s="114"/>
      <c r="Q19" s="120"/>
      <c r="R19" s="110"/>
      <c r="S19" s="58"/>
      <c r="T19" s="28"/>
      <c r="U19" s="28"/>
      <c r="V19" s="28"/>
    </row>
    <row r="20" spans="2:22" x14ac:dyDescent="0.3">
      <c r="B20" s="89"/>
      <c r="C20" s="119"/>
      <c r="D20" s="107"/>
      <c r="E20" s="107"/>
      <c r="F20" s="107"/>
      <c r="G20" s="107"/>
      <c r="H20" s="107"/>
      <c r="I20" s="107"/>
      <c r="J20" s="107"/>
      <c r="K20" s="107"/>
      <c r="L20" s="107"/>
      <c r="M20" s="107"/>
      <c r="N20" s="107"/>
      <c r="O20" s="108"/>
      <c r="S20" s="28"/>
      <c r="T20" s="28"/>
      <c r="U20" s="28"/>
      <c r="V20" s="28"/>
    </row>
    <row r="21" spans="2:22" ht="43.2" customHeight="1" x14ac:dyDescent="0.3">
      <c r="B21" s="421" t="s">
        <v>61</v>
      </c>
      <c r="C21" s="421"/>
      <c r="D21" s="421"/>
      <c r="E21" s="421"/>
      <c r="F21" s="421"/>
      <c r="G21" s="421"/>
      <c r="H21" s="421"/>
      <c r="I21" s="421"/>
      <c r="J21" s="421"/>
      <c r="K21" s="421"/>
      <c r="L21" s="421"/>
      <c r="M21" s="421"/>
      <c r="N21" s="421"/>
      <c r="O21" s="109"/>
      <c r="S21" s="28"/>
      <c r="T21" s="28"/>
      <c r="U21" s="28"/>
      <c r="V21" s="28"/>
    </row>
    <row r="22" spans="2:22" ht="14.4" customHeight="1" x14ac:dyDescent="0.3">
      <c r="B22" s="406"/>
      <c r="C22" s="415" t="s">
        <v>57</v>
      </c>
      <c r="D22" s="415"/>
      <c r="E22" s="415"/>
      <c r="F22" s="415"/>
      <c r="G22" s="415"/>
      <c r="H22" s="415"/>
      <c r="I22" s="415"/>
      <c r="J22" s="415"/>
      <c r="K22" s="415"/>
      <c r="L22" s="415"/>
      <c r="M22" s="415"/>
      <c r="N22" s="415"/>
      <c r="O22" s="115"/>
      <c r="S22" s="28"/>
      <c r="T22" s="28"/>
      <c r="U22" s="28"/>
      <c r="V22" s="28"/>
    </row>
    <row r="23" spans="2:22" x14ac:dyDescent="0.3">
      <c r="B23" s="406"/>
      <c r="C23" s="144" t="s">
        <v>24</v>
      </c>
      <c r="D23" s="144" t="s">
        <v>25</v>
      </c>
      <c r="E23" s="144" t="s">
        <v>26</v>
      </c>
      <c r="F23" s="144" t="s">
        <v>27</v>
      </c>
      <c r="G23" s="144" t="s">
        <v>17</v>
      </c>
      <c r="H23" s="144" t="s">
        <v>28</v>
      </c>
      <c r="I23" s="144" t="s">
        <v>29</v>
      </c>
      <c r="J23" s="144" t="s">
        <v>30</v>
      </c>
      <c r="K23" s="144" t="s">
        <v>31</v>
      </c>
      <c r="L23" s="144" t="s">
        <v>32</v>
      </c>
      <c r="M23" s="144" t="s">
        <v>33</v>
      </c>
      <c r="N23" s="144" t="s">
        <v>34</v>
      </c>
      <c r="O23" s="116"/>
      <c r="S23" s="28"/>
      <c r="T23" s="28"/>
      <c r="U23" s="28"/>
      <c r="V23" s="28"/>
    </row>
    <row r="24" spans="2:22" x14ac:dyDescent="0.3">
      <c r="B24" s="91" t="s">
        <v>63</v>
      </c>
      <c r="C24" s="111">
        <f>C19^$C$25</f>
        <v>1.6933716734948281</v>
      </c>
      <c r="D24" s="111">
        <f t="shared" ref="D24:N24" si="2">D19^$C$25</f>
        <v>1.5115735017098675</v>
      </c>
      <c r="E24" s="111">
        <f t="shared" si="2"/>
        <v>1.7723980330101041</v>
      </c>
      <c r="F24" s="111">
        <f t="shared" si="2"/>
        <v>0.76930388895630386</v>
      </c>
      <c r="G24" s="111">
        <f t="shared" si="2"/>
        <v>0.61412128533404364</v>
      </c>
      <c r="H24" s="111">
        <f t="shared" si="2"/>
        <v>0.6821720017963494</v>
      </c>
      <c r="I24" s="111">
        <f t="shared" si="2"/>
        <v>0.44601741180925703</v>
      </c>
      <c r="J24" s="111">
        <f t="shared" si="2"/>
        <v>0.69815595528272645</v>
      </c>
      <c r="K24" s="111">
        <f t="shared" si="2"/>
        <v>0.87289840012917252</v>
      </c>
      <c r="L24" s="111">
        <f t="shared" si="2"/>
        <v>1.1034031624188767</v>
      </c>
      <c r="M24" s="111">
        <f t="shared" si="2"/>
        <v>1.183709848649773</v>
      </c>
      <c r="N24" s="111">
        <f t="shared" si="2"/>
        <v>1.1558957024921264</v>
      </c>
      <c r="O24" s="114"/>
      <c r="S24" s="28"/>
      <c r="T24" s="28"/>
      <c r="U24" s="28"/>
      <c r="V24" s="28"/>
    </row>
    <row r="25" spans="2:22" x14ac:dyDescent="0.3">
      <c r="B25" s="91" t="s">
        <v>62</v>
      </c>
      <c r="C25" s="162">
        <v>2</v>
      </c>
      <c r="D25" s="107"/>
      <c r="E25" s="107"/>
      <c r="F25" s="107"/>
      <c r="G25" s="107"/>
      <c r="H25" s="107"/>
      <c r="I25" s="107"/>
      <c r="J25" s="107"/>
      <c r="K25" s="107"/>
      <c r="L25" s="107"/>
      <c r="M25" s="107"/>
      <c r="N25" s="107"/>
      <c r="O25" s="108"/>
      <c r="S25" s="28"/>
      <c r="T25" s="28"/>
      <c r="U25" s="28"/>
      <c r="V25" s="28"/>
    </row>
    <row r="26" spans="2:22" x14ac:dyDescent="0.3">
      <c r="B26" s="89"/>
      <c r="C26" s="107"/>
      <c r="D26" s="107"/>
      <c r="E26" s="107"/>
      <c r="F26" s="107"/>
      <c r="G26" s="107"/>
      <c r="H26" s="107"/>
      <c r="I26" s="107"/>
      <c r="J26" s="107"/>
      <c r="K26" s="107"/>
      <c r="L26" s="107"/>
      <c r="M26" s="107"/>
      <c r="N26" s="107"/>
      <c r="O26" s="108"/>
      <c r="S26" s="28"/>
      <c r="T26" s="28"/>
      <c r="U26" s="28"/>
      <c r="V26" s="28"/>
    </row>
    <row r="27" spans="2:22" ht="55.95" customHeight="1" x14ac:dyDescent="0.3">
      <c r="B27" s="421" t="s">
        <v>68</v>
      </c>
      <c r="C27" s="421"/>
      <c r="D27" s="421"/>
      <c r="E27" s="421"/>
      <c r="F27" s="421"/>
      <c r="G27" s="421"/>
      <c r="H27" s="421"/>
      <c r="I27" s="421"/>
      <c r="J27" s="421"/>
      <c r="K27" s="421"/>
      <c r="L27" s="421"/>
      <c r="M27" s="421"/>
      <c r="N27" s="421"/>
      <c r="O27" s="421"/>
      <c r="S27" s="28"/>
      <c r="T27" s="28"/>
      <c r="U27" s="28"/>
      <c r="V27" s="28"/>
    </row>
    <row r="28" spans="2:22" x14ac:dyDescent="0.3">
      <c r="B28" s="406"/>
      <c r="C28" s="415" t="s">
        <v>57</v>
      </c>
      <c r="D28" s="415"/>
      <c r="E28" s="415"/>
      <c r="F28" s="415"/>
      <c r="G28" s="415"/>
      <c r="H28" s="415"/>
      <c r="I28" s="415"/>
      <c r="J28" s="415"/>
      <c r="K28" s="415"/>
      <c r="L28" s="415"/>
      <c r="M28" s="415"/>
      <c r="N28" s="415"/>
      <c r="O28" s="415"/>
      <c r="S28" s="28"/>
      <c r="T28" s="28"/>
      <c r="U28" s="28"/>
      <c r="V28" s="28"/>
    </row>
    <row r="29" spans="2:22" x14ac:dyDescent="0.3">
      <c r="B29" s="406"/>
      <c r="C29" s="144" t="s">
        <v>24</v>
      </c>
      <c r="D29" s="144" t="s">
        <v>25</v>
      </c>
      <c r="E29" s="144" t="s">
        <v>26</v>
      </c>
      <c r="F29" s="144" t="s">
        <v>27</v>
      </c>
      <c r="G29" s="144" t="s">
        <v>17</v>
      </c>
      <c r="H29" s="144" t="s">
        <v>28</v>
      </c>
      <c r="I29" s="144" t="s">
        <v>29</v>
      </c>
      <c r="J29" s="144" t="s">
        <v>30</v>
      </c>
      <c r="K29" s="144" t="s">
        <v>31</v>
      </c>
      <c r="L29" s="144" t="s">
        <v>32</v>
      </c>
      <c r="M29" s="144" t="s">
        <v>33</v>
      </c>
      <c r="N29" s="144" t="s">
        <v>34</v>
      </c>
      <c r="O29" s="144" t="s">
        <v>38</v>
      </c>
      <c r="S29" s="28"/>
      <c r="T29" s="28"/>
      <c r="U29" s="28"/>
      <c r="V29" s="28"/>
    </row>
    <row r="30" spans="2:22" x14ac:dyDescent="0.3">
      <c r="B30" s="91" t="s">
        <v>64</v>
      </c>
      <c r="C30" s="111">
        <f>C24*$C$33</f>
        <v>2.5400575102422422</v>
      </c>
      <c r="D30" s="111">
        <f t="shared" ref="D30:N30" si="3">D24*$C$33</f>
        <v>2.2673602525648011</v>
      </c>
      <c r="E30" s="111">
        <f t="shared" si="3"/>
        <v>2.6585970495151563</v>
      </c>
      <c r="F30" s="111">
        <f t="shared" si="3"/>
        <v>1.1539558334344557</v>
      </c>
      <c r="G30" s="111">
        <f t="shared" si="3"/>
        <v>0.92118192800106546</v>
      </c>
      <c r="H30" s="111">
        <f t="shared" si="3"/>
        <v>1.0232580026945242</v>
      </c>
      <c r="I30" s="111">
        <f t="shared" si="3"/>
        <v>0.66902611771388554</v>
      </c>
      <c r="J30" s="111">
        <f t="shared" si="3"/>
        <v>1.0472339329240896</v>
      </c>
      <c r="K30" s="111">
        <f t="shared" si="3"/>
        <v>1.3093476001937587</v>
      </c>
      <c r="L30" s="111">
        <f t="shared" si="3"/>
        <v>1.6551047436283151</v>
      </c>
      <c r="M30" s="111">
        <f t="shared" si="3"/>
        <v>1.7755647729746595</v>
      </c>
      <c r="N30" s="111">
        <f t="shared" si="3"/>
        <v>1.7338435537381895</v>
      </c>
      <c r="O30" s="111">
        <f>AVERAGE(C30:N30)</f>
        <v>1.5628776081354285</v>
      </c>
      <c r="S30" s="28"/>
      <c r="T30" s="28"/>
      <c r="U30" s="28"/>
      <c r="V30" s="28"/>
    </row>
    <row r="31" spans="2:22" x14ac:dyDescent="0.3">
      <c r="B31" s="91" t="s">
        <v>65</v>
      </c>
      <c r="C31" s="111">
        <f>C24*$C$34</f>
        <v>5.0801150204844845</v>
      </c>
      <c r="D31" s="111">
        <f t="shared" ref="D31:N31" si="4">D24*$C$34</f>
        <v>4.5347205051296022</v>
      </c>
      <c r="E31" s="111">
        <f t="shared" si="4"/>
        <v>5.3171940990303126</v>
      </c>
      <c r="F31" s="111">
        <f t="shared" si="4"/>
        <v>2.3079116668689115</v>
      </c>
      <c r="G31" s="111">
        <f t="shared" si="4"/>
        <v>1.8423638560021309</v>
      </c>
      <c r="H31" s="111">
        <f t="shared" si="4"/>
        <v>2.0465160053890483</v>
      </c>
      <c r="I31" s="111">
        <f t="shared" si="4"/>
        <v>1.3380522354277711</v>
      </c>
      <c r="J31" s="111">
        <f t="shared" si="4"/>
        <v>2.0944678658481792</v>
      </c>
      <c r="K31" s="111">
        <f t="shared" si="4"/>
        <v>2.6186952003875175</v>
      </c>
      <c r="L31" s="111">
        <f t="shared" si="4"/>
        <v>3.3102094872566301</v>
      </c>
      <c r="M31" s="111">
        <f t="shared" si="4"/>
        <v>3.5511295459493191</v>
      </c>
      <c r="N31" s="111">
        <f t="shared" si="4"/>
        <v>3.4676871074763791</v>
      </c>
      <c r="O31" s="111">
        <f>AVERAGE(C31:N31)</f>
        <v>3.1257552162708571</v>
      </c>
      <c r="S31" s="28"/>
      <c r="T31" s="28"/>
      <c r="U31" s="28"/>
      <c r="V31" s="28"/>
    </row>
    <row r="32" spans="2:22" ht="8.4" customHeight="1" x14ac:dyDescent="0.3">
      <c r="B32" s="91"/>
      <c r="C32" s="113"/>
      <c r="D32" s="113"/>
      <c r="E32" s="113"/>
      <c r="F32" s="113"/>
      <c r="G32" s="113"/>
      <c r="H32" s="113"/>
      <c r="I32" s="113"/>
      <c r="J32" s="113"/>
      <c r="K32" s="113"/>
      <c r="L32" s="113"/>
      <c r="M32" s="113"/>
      <c r="N32" s="113"/>
      <c r="O32" s="113"/>
      <c r="S32" s="28"/>
      <c r="T32" s="28"/>
      <c r="U32" s="28"/>
      <c r="V32" s="28"/>
    </row>
    <row r="33" spans="2:22" x14ac:dyDescent="0.3">
      <c r="B33" s="91" t="s">
        <v>66</v>
      </c>
      <c r="C33" s="122">
        <f>'Ms_SFs, Short-term tar. 2020-23'!M21</f>
        <v>1.5</v>
      </c>
      <c r="D33" s="107"/>
      <c r="E33" s="107"/>
      <c r="F33" s="107"/>
      <c r="G33" s="107"/>
      <c r="H33" s="107"/>
      <c r="I33" s="107"/>
      <c r="J33" s="107"/>
      <c r="K33" s="107"/>
      <c r="L33" s="107"/>
      <c r="M33" s="107"/>
      <c r="N33" s="107"/>
      <c r="O33" s="108"/>
      <c r="S33" s="28"/>
      <c r="T33" s="28"/>
      <c r="U33" s="28"/>
      <c r="V33" s="28"/>
    </row>
    <row r="34" spans="2:22" x14ac:dyDescent="0.3">
      <c r="B34" s="91" t="s">
        <v>67</v>
      </c>
      <c r="C34" s="122">
        <f>'Ms_SFs, Short-term tar. 2020-23'!N21</f>
        <v>3</v>
      </c>
      <c r="D34" s="107"/>
      <c r="E34" s="107"/>
      <c r="F34" s="107"/>
      <c r="G34" s="107"/>
      <c r="H34" s="107"/>
      <c r="I34" s="107"/>
      <c r="J34" s="107"/>
      <c r="K34" s="107"/>
      <c r="L34" s="107"/>
      <c r="M34" s="107"/>
      <c r="N34" s="107"/>
      <c r="O34" s="108"/>
      <c r="S34" s="28"/>
      <c r="T34" s="28"/>
      <c r="U34" s="28"/>
      <c r="V34" s="28"/>
    </row>
    <row r="35" spans="2:22" x14ac:dyDescent="0.3">
      <c r="B35" s="89"/>
      <c r="C35" s="107"/>
      <c r="D35" s="107"/>
      <c r="E35" s="107"/>
      <c r="F35" s="107"/>
      <c r="G35" s="107"/>
      <c r="H35" s="107"/>
      <c r="I35" s="107"/>
      <c r="J35" s="107"/>
      <c r="K35" s="107"/>
      <c r="L35" s="107"/>
      <c r="M35" s="107"/>
      <c r="N35" s="107"/>
      <c r="O35" s="108"/>
      <c r="S35" s="28"/>
      <c r="T35" s="28"/>
      <c r="U35" s="28"/>
      <c r="V35" s="28"/>
    </row>
    <row r="36" spans="2:22" ht="162" customHeight="1" x14ac:dyDescent="0.3">
      <c r="B36" s="421" t="s">
        <v>148</v>
      </c>
      <c r="C36" s="421"/>
      <c r="D36" s="421"/>
      <c r="E36" s="421"/>
      <c r="F36" s="421"/>
      <c r="G36" s="421"/>
      <c r="H36" s="421"/>
      <c r="I36" s="421"/>
      <c r="J36" s="421"/>
      <c r="K36" s="421"/>
      <c r="L36" s="421"/>
      <c r="M36" s="421"/>
      <c r="N36" s="421"/>
      <c r="O36" s="109"/>
      <c r="S36" s="28"/>
      <c r="T36" s="28"/>
      <c r="U36" s="28"/>
      <c r="V36" s="28"/>
    </row>
    <row r="37" spans="2:22" ht="14.4" customHeight="1" x14ac:dyDescent="0.3">
      <c r="B37" s="406"/>
      <c r="C37" s="415" t="s">
        <v>57</v>
      </c>
      <c r="D37" s="415"/>
      <c r="E37" s="415"/>
      <c r="F37" s="415"/>
      <c r="G37" s="415"/>
      <c r="H37" s="415"/>
      <c r="I37" s="415"/>
      <c r="J37" s="415"/>
      <c r="K37" s="415"/>
      <c r="L37" s="415"/>
      <c r="M37" s="415"/>
      <c r="N37" s="415"/>
      <c r="O37" s="115"/>
      <c r="S37" s="28"/>
      <c r="T37" s="28"/>
      <c r="U37" s="28"/>
      <c r="V37" s="28"/>
    </row>
    <row r="38" spans="2:22" x14ac:dyDescent="0.3">
      <c r="B38" s="406"/>
      <c r="C38" s="144" t="s">
        <v>24</v>
      </c>
      <c r="D38" s="144" t="s">
        <v>25</v>
      </c>
      <c r="E38" s="144" t="s">
        <v>26</v>
      </c>
      <c r="F38" s="144" t="s">
        <v>27</v>
      </c>
      <c r="G38" s="144" t="s">
        <v>17</v>
      </c>
      <c r="H38" s="144" t="s">
        <v>28</v>
      </c>
      <c r="I38" s="144" t="s">
        <v>29</v>
      </c>
      <c r="J38" s="144" t="s">
        <v>30</v>
      </c>
      <c r="K38" s="144" t="s">
        <v>31</v>
      </c>
      <c r="L38" s="144" t="s">
        <v>32</v>
      </c>
      <c r="M38" s="144" t="s">
        <v>33</v>
      </c>
      <c r="N38" s="144" t="s">
        <v>34</v>
      </c>
      <c r="O38" s="116"/>
      <c r="S38" s="28"/>
      <c r="T38" s="28"/>
      <c r="U38" s="28"/>
      <c r="V38" s="28"/>
    </row>
    <row r="39" spans="2:22" x14ac:dyDescent="0.3">
      <c r="B39" s="91" t="s">
        <v>71</v>
      </c>
      <c r="C39" s="111">
        <f>C24*$C$42</f>
        <v>1.6252440351184159</v>
      </c>
      <c r="D39" s="111">
        <f t="shared" ref="D39:N39" si="5">D24*$C$42</f>
        <v>1.4507599576334367</v>
      </c>
      <c r="E39" s="111">
        <f t="shared" si="5"/>
        <v>1.7010910103747421</v>
      </c>
      <c r="F39" s="111">
        <f t="shared" si="5"/>
        <v>0.7383532961427276</v>
      </c>
      <c r="G39" s="111">
        <f t="shared" si="5"/>
        <v>0.58941399070914446</v>
      </c>
      <c r="H39" s="111">
        <f t="shared" si="5"/>
        <v>0.6547268943953386</v>
      </c>
      <c r="I39" s="111">
        <f t="shared" si="5"/>
        <v>0.42807326321096811</v>
      </c>
      <c r="J39" s="111">
        <f t="shared" si="5"/>
        <v>0.67006778232204567</v>
      </c>
      <c r="K39" s="111">
        <f t="shared" si="5"/>
        <v>0.83777999849640139</v>
      </c>
      <c r="L39" s="111">
        <f t="shared" si="5"/>
        <v>1.0590111055483846</v>
      </c>
      <c r="M39" s="111">
        <f t="shared" si="5"/>
        <v>1.1360868974845539</v>
      </c>
      <c r="N39" s="111">
        <f t="shared" si="5"/>
        <v>1.1093917685638415</v>
      </c>
      <c r="O39" s="114"/>
      <c r="S39" s="28"/>
      <c r="T39" s="28"/>
      <c r="U39" s="28"/>
      <c r="V39" s="28"/>
    </row>
    <row r="40" spans="2:22" x14ac:dyDescent="0.3">
      <c r="B40" s="91" t="s">
        <v>72</v>
      </c>
      <c r="C40" s="111">
        <f>C24*$C$43</f>
        <v>1.6252440351184159</v>
      </c>
      <c r="D40" s="111">
        <f t="shared" ref="D40:N40" si="6">D24*$C$43</f>
        <v>1.4507599576334367</v>
      </c>
      <c r="E40" s="111">
        <f t="shared" si="6"/>
        <v>1.7010910103747421</v>
      </c>
      <c r="F40" s="111">
        <f t="shared" si="6"/>
        <v>0.7383532961427276</v>
      </c>
      <c r="G40" s="111">
        <f t="shared" si="6"/>
        <v>0.58941399070914446</v>
      </c>
      <c r="H40" s="111">
        <f t="shared" si="6"/>
        <v>0.6547268943953386</v>
      </c>
      <c r="I40" s="111">
        <f t="shared" si="6"/>
        <v>0.42807326321096811</v>
      </c>
      <c r="J40" s="111">
        <f t="shared" si="6"/>
        <v>0.67006778232204567</v>
      </c>
      <c r="K40" s="111">
        <f t="shared" si="6"/>
        <v>0.83777999849640139</v>
      </c>
      <c r="L40" s="111">
        <f t="shared" si="6"/>
        <v>1.0590111055483846</v>
      </c>
      <c r="M40" s="111">
        <f t="shared" si="6"/>
        <v>1.1360868974845539</v>
      </c>
      <c r="N40" s="111">
        <f t="shared" si="6"/>
        <v>1.1093917685638415</v>
      </c>
      <c r="O40" s="114"/>
      <c r="S40" s="28"/>
      <c r="T40" s="28"/>
      <c r="U40" s="28"/>
      <c r="V40" s="28"/>
    </row>
    <row r="41" spans="2:22" ht="7.2" customHeight="1" x14ac:dyDescent="0.3">
      <c r="B41" s="91"/>
      <c r="C41" s="113"/>
      <c r="D41" s="113"/>
      <c r="E41" s="113"/>
      <c r="F41" s="113"/>
      <c r="G41" s="113"/>
      <c r="H41" s="113"/>
      <c r="I41" s="113"/>
      <c r="J41" s="113"/>
      <c r="K41" s="113"/>
      <c r="L41" s="113"/>
      <c r="M41" s="113"/>
      <c r="N41" s="113"/>
      <c r="O41" s="114"/>
      <c r="S41" s="28"/>
      <c r="T41" s="28"/>
      <c r="U41" s="28"/>
      <c r="V41" s="28"/>
    </row>
    <row r="42" spans="2:22" x14ac:dyDescent="0.3">
      <c r="B42" s="91" t="s">
        <v>70</v>
      </c>
      <c r="C42" s="111">
        <f>IF(O30&gt;1.5,1.5/O30,IF(O30&lt;1,1/O30,1))</f>
        <v>0.95976805361589135</v>
      </c>
      <c r="D42" s="114"/>
      <c r="E42" s="107"/>
      <c r="F42" s="107"/>
      <c r="G42" s="107"/>
      <c r="H42" s="107"/>
      <c r="I42" s="107"/>
      <c r="J42" s="107"/>
      <c r="K42" s="107"/>
      <c r="L42" s="107"/>
      <c r="M42" s="107"/>
      <c r="N42" s="107"/>
      <c r="O42" s="108"/>
      <c r="S42" s="28"/>
      <c r="T42" s="28"/>
      <c r="U42" s="28"/>
      <c r="V42" s="28"/>
    </row>
    <row r="43" spans="2:22" x14ac:dyDescent="0.3">
      <c r="B43" s="91" t="s">
        <v>69</v>
      </c>
      <c r="C43" s="111">
        <f>IF(O31&gt;3,3/O31,IF(O31&lt;1,1/O31,1))</f>
        <v>0.95976805361589135</v>
      </c>
      <c r="D43" s="114"/>
      <c r="E43" s="107"/>
      <c r="F43" s="107"/>
      <c r="G43" s="107"/>
      <c r="H43" s="107"/>
      <c r="I43" s="107"/>
      <c r="J43" s="107"/>
      <c r="K43" s="107"/>
      <c r="L43" s="107"/>
      <c r="M43" s="107"/>
      <c r="N43" s="107"/>
      <c r="O43" s="108"/>
      <c r="S43" s="28"/>
      <c r="T43" s="28"/>
      <c r="U43" s="28"/>
      <c r="V43" s="28"/>
    </row>
    <row r="44" spans="2:22" x14ac:dyDescent="0.3">
      <c r="B44" s="89"/>
      <c r="C44" s="107"/>
      <c r="D44" s="107"/>
      <c r="E44" s="107"/>
      <c r="F44" s="107"/>
      <c r="G44" s="107"/>
      <c r="H44" s="107"/>
      <c r="I44" s="107"/>
      <c r="J44" s="107"/>
      <c r="K44" s="107"/>
      <c r="L44" s="107"/>
      <c r="M44" s="107"/>
      <c r="N44" s="107"/>
      <c r="O44" s="108"/>
      <c r="S44" s="28"/>
      <c r="T44" s="28"/>
      <c r="U44" s="28"/>
      <c r="V44" s="28"/>
    </row>
    <row r="45" spans="2:22" ht="98.4" customHeight="1" x14ac:dyDescent="0.3">
      <c r="B45" s="421" t="s">
        <v>149</v>
      </c>
      <c r="C45" s="421"/>
      <c r="D45" s="421"/>
      <c r="E45" s="421"/>
      <c r="F45" s="421"/>
      <c r="G45" s="421"/>
      <c r="H45" s="421"/>
      <c r="I45" s="421"/>
      <c r="J45" s="421"/>
      <c r="K45" s="421"/>
      <c r="L45" s="421"/>
      <c r="M45" s="421"/>
      <c r="N45" s="421"/>
      <c r="O45" s="109"/>
      <c r="S45" s="28"/>
      <c r="T45" s="28"/>
      <c r="U45" s="28"/>
      <c r="V45" s="28"/>
    </row>
    <row r="46" spans="2:22" ht="14.4" customHeight="1" x14ac:dyDescent="0.3">
      <c r="B46" s="406"/>
      <c r="C46" s="415" t="s">
        <v>74</v>
      </c>
      <c r="D46" s="415"/>
      <c r="E46" s="415"/>
      <c r="F46" s="415"/>
      <c r="G46" s="115"/>
      <c r="H46" s="115"/>
      <c r="I46" s="115"/>
      <c r="J46" s="115"/>
      <c r="K46" s="115"/>
      <c r="L46" s="115"/>
      <c r="M46" s="115"/>
      <c r="N46" s="115"/>
      <c r="O46" s="115"/>
      <c r="S46" s="28"/>
      <c r="T46" s="28"/>
      <c r="U46" s="28"/>
      <c r="V46" s="28"/>
    </row>
    <row r="47" spans="2:22" x14ac:dyDescent="0.3">
      <c r="B47" s="406"/>
      <c r="C47" s="144" t="s">
        <v>39</v>
      </c>
      <c r="D47" s="144" t="s">
        <v>40</v>
      </c>
      <c r="E47" s="144" t="s">
        <v>41</v>
      </c>
      <c r="F47" s="144" t="s">
        <v>42</v>
      </c>
      <c r="G47" s="116"/>
      <c r="H47" s="116"/>
      <c r="I47" s="116"/>
      <c r="J47" s="116"/>
      <c r="K47" s="116"/>
      <c r="L47" s="116"/>
      <c r="M47" s="116"/>
      <c r="N47" s="116"/>
      <c r="O47" s="116"/>
      <c r="S47" s="28"/>
      <c r="T47" s="28"/>
      <c r="U47" s="28"/>
      <c r="V47" s="28"/>
    </row>
    <row r="48" spans="2:22" x14ac:dyDescent="0.3">
      <c r="B48" s="91" t="s">
        <v>73</v>
      </c>
      <c r="C48" s="111">
        <f>AVERAGE(C39:E39)</f>
        <v>1.5923650010421981</v>
      </c>
      <c r="D48" s="111">
        <f>AVERAGE(F39:H39)</f>
        <v>0.66083139374907029</v>
      </c>
      <c r="E48" s="111">
        <f>AVERAGE(I39:K39)</f>
        <v>0.64530701467647178</v>
      </c>
      <c r="F48" s="111">
        <f>AVERAGE(L39:N39)</f>
        <v>1.10149659053226</v>
      </c>
      <c r="G48" s="114"/>
      <c r="H48" s="114"/>
      <c r="I48" s="114"/>
      <c r="J48" s="114"/>
      <c r="K48" s="114"/>
      <c r="L48" s="114"/>
      <c r="M48" s="114"/>
      <c r="N48" s="114"/>
      <c r="O48" s="114"/>
      <c r="S48" s="28"/>
      <c r="T48" s="28"/>
      <c r="U48" s="28"/>
      <c r="V48" s="28"/>
    </row>
    <row r="49" spans="2:22" x14ac:dyDescent="0.3">
      <c r="B49" s="89"/>
      <c r="C49" s="107"/>
      <c r="D49" s="107"/>
      <c r="E49" s="107"/>
      <c r="F49" s="107"/>
      <c r="G49" s="107"/>
      <c r="H49" s="107"/>
      <c r="I49" s="107"/>
      <c r="J49" s="107"/>
      <c r="K49" s="107"/>
      <c r="L49" s="107"/>
      <c r="M49" s="107"/>
      <c r="N49" s="107"/>
      <c r="O49" s="108"/>
      <c r="S49" s="28"/>
      <c r="T49" s="28"/>
      <c r="U49" s="28"/>
      <c r="V49" s="28"/>
    </row>
    <row r="50" spans="2:22" ht="29.4" customHeight="1" x14ac:dyDescent="0.3">
      <c r="B50" s="421" t="s">
        <v>75</v>
      </c>
      <c r="C50" s="421"/>
      <c r="D50" s="421"/>
      <c r="E50" s="421"/>
      <c r="F50" s="421"/>
      <c r="G50" s="421"/>
      <c r="H50" s="421"/>
      <c r="I50" s="421"/>
      <c r="J50" s="421"/>
      <c r="K50" s="421"/>
      <c r="L50" s="421"/>
      <c r="M50" s="421"/>
      <c r="N50" s="421"/>
      <c r="O50" s="108"/>
      <c r="S50" s="28"/>
      <c r="T50" s="28"/>
      <c r="U50" s="28"/>
      <c r="V50" s="28"/>
    </row>
    <row r="51" spans="2:22" ht="14.4" customHeight="1" x14ac:dyDescent="0.3">
      <c r="B51" s="406"/>
      <c r="C51" s="407" t="s">
        <v>57</v>
      </c>
      <c r="D51" s="408"/>
      <c r="E51" s="408"/>
      <c r="F51" s="408"/>
      <c r="G51" s="408"/>
      <c r="H51" s="408"/>
      <c r="I51" s="408"/>
      <c r="J51" s="408"/>
      <c r="K51" s="408"/>
      <c r="L51" s="408"/>
      <c r="M51" s="408"/>
      <c r="N51" s="408"/>
      <c r="O51" s="409"/>
      <c r="S51" s="28"/>
      <c r="T51" s="28"/>
      <c r="U51" s="28"/>
      <c r="V51" s="28"/>
    </row>
    <row r="52" spans="2:22" x14ac:dyDescent="0.3">
      <c r="B52" s="406"/>
      <c r="C52" s="144" t="s">
        <v>24</v>
      </c>
      <c r="D52" s="144" t="s">
        <v>25</v>
      </c>
      <c r="E52" s="144" t="s">
        <v>26</v>
      </c>
      <c r="F52" s="144" t="s">
        <v>27</v>
      </c>
      <c r="G52" s="144" t="s">
        <v>17</v>
      </c>
      <c r="H52" s="144" t="s">
        <v>28</v>
      </c>
      <c r="I52" s="144" t="s">
        <v>29</v>
      </c>
      <c r="J52" s="144" t="s">
        <v>30</v>
      </c>
      <c r="K52" s="144" t="s">
        <v>31</v>
      </c>
      <c r="L52" s="144" t="s">
        <v>32</v>
      </c>
      <c r="M52" s="144" t="s">
        <v>33</v>
      </c>
      <c r="N52" s="144" t="s">
        <v>34</v>
      </c>
      <c r="O52" s="144" t="s">
        <v>38</v>
      </c>
      <c r="S52" s="28"/>
      <c r="T52" s="28"/>
      <c r="U52" s="28"/>
      <c r="V52" s="28"/>
    </row>
    <row r="53" spans="2:22" x14ac:dyDescent="0.3">
      <c r="B53" s="91" t="s">
        <v>76</v>
      </c>
      <c r="C53" s="123">
        <f>ROUND(C39,2)</f>
        <v>1.63</v>
      </c>
      <c r="D53" s="123">
        <f t="shared" ref="D53:N54" si="7">ROUND(D39,2)</f>
        <v>1.45</v>
      </c>
      <c r="E53" s="123">
        <f t="shared" si="7"/>
        <v>1.7</v>
      </c>
      <c r="F53" s="123">
        <f t="shared" si="7"/>
        <v>0.74</v>
      </c>
      <c r="G53" s="123">
        <f t="shared" si="7"/>
        <v>0.59</v>
      </c>
      <c r="H53" s="123">
        <f t="shared" si="7"/>
        <v>0.65</v>
      </c>
      <c r="I53" s="123">
        <f t="shared" si="7"/>
        <v>0.43</v>
      </c>
      <c r="J53" s="123">
        <f t="shared" si="7"/>
        <v>0.67</v>
      </c>
      <c r="K53" s="123">
        <f t="shared" si="7"/>
        <v>0.84</v>
      </c>
      <c r="L53" s="123">
        <f t="shared" si="7"/>
        <v>1.06</v>
      </c>
      <c r="M53" s="123">
        <f t="shared" si="7"/>
        <v>1.1399999999999999</v>
      </c>
      <c r="N53" s="123">
        <f t="shared" si="7"/>
        <v>1.1100000000000001</v>
      </c>
      <c r="O53" s="123">
        <f>AVERAGE(C53:N53)</f>
        <v>1.0008333333333335</v>
      </c>
      <c r="S53" s="28"/>
      <c r="T53" s="28"/>
      <c r="U53" s="28"/>
      <c r="V53" s="28"/>
    </row>
    <row r="54" spans="2:22" x14ac:dyDescent="0.3">
      <c r="B54" s="91" t="s">
        <v>77</v>
      </c>
      <c r="C54" s="123">
        <f>ROUND(C40,2)</f>
        <v>1.63</v>
      </c>
      <c r="D54" s="123">
        <f t="shared" si="7"/>
        <v>1.45</v>
      </c>
      <c r="E54" s="123">
        <f t="shared" si="7"/>
        <v>1.7</v>
      </c>
      <c r="F54" s="123">
        <f t="shared" si="7"/>
        <v>0.74</v>
      </c>
      <c r="G54" s="123">
        <f t="shared" si="7"/>
        <v>0.59</v>
      </c>
      <c r="H54" s="123">
        <f t="shared" si="7"/>
        <v>0.65</v>
      </c>
      <c r="I54" s="123">
        <f t="shared" si="7"/>
        <v>0.43</v>
      </c>
      <c r="J54" s="123">
        <f t="shared" si="7"/>
        <v>0.67</v>
      </c>
      <c r="K54" s="123">
        <f t="shared" si="7"/>
        <v>0.84</v>
      </c>
      <c r="L54" s="123">
        <f t="shared" si="7"/>
        <v>1.06</v>
      </c>
      <c r="M54" s="123">
        <f t="shared" si="7"/>
        <v>1.1399999999999999</v>
      </c>
      <c r="N54" s="123">
        <f t="shared" si="7"/>
        <v>1.1100000000000001</v>
      </c>
      <c r="O54" s="123">
        <f>AVERAGE(C54:N54)</f>
        <v>1.0008333333333335</v>
      </c>
      <c r="S54" s="28"/>
      <c r="T54" s="28"/>
      <c r="U54" s="28"/>
      <c r="V54" s="28"/>
    </row>
    <row r="55" spans="2:22" x14ac:dyDescent="0.3">
      <c r="B55" s="117"/>
      <c r="C55" s="144" t="s">
        <v>39</v>
      </c>
      <c r="D55" s="144" t="s">
        <v>40</v>
      </c>
      <c r="E55" s="144" t="s">
        <v>41</v>
      </c>
      <c r="F55" s="144" t="s">
        <v>42</v>
      </c>
      <c r="G55" s="144" t="s">
        <v>38</v>
      </c>
      <c r="H55" s="116"/>
      <c r="I55" s="116"/>
      <c r="J55" s="116"/>
      <c r="K55" s="116"/>
      <c r="L55" s="116"/>
      <c r="M55" s="116"/>
      <c r="N55" s="116"/>
      <c r="O55" s="108"/>
      <c r="S55" s="28"/>
      <c r="T55" s="28"/>
      <c r="U55" s="28"/>
      <c r="V55" s="28"/>
    </row>
    <row r="56" spans="2:22" x14ac:dyDescent="0.3">
      <c r="B56" s="91" t="s">
        <v>78</v>
      </c>
      <c r="C56" s="123">
        <f>ROUND(C48,2)</f>
        <v>1.59</v>
      </c>
      <c r="D56" s="123">
        <f t="shared" ref="D56:F56" si="8">ROUND(D48,2)</f>
        <v>0.66</v>
      </c>
      <c r="E56" s="123">
        <f t="shared" si="8"/>
        <v>0.65</v>
      </c>
      <c r="F56" s="123">
        <f t="shared" si="8"/>
        <v>1.1000000000000001</v>
      </c>
      <c r="G56" s="123">
        <f>AVERAGE(C56:F56)</f>
        <v>1</v>
      </c>
      <c r="H56" s="114"/>
      <c r="I56" s="114"/>
      <c r="J56" s="114"/>
      <c r="K56" s="114"/>
      <c r="L56" s="114"/>
      <c r="M56" s="114"/>
      <c r="N56" s="114"/>
      <c r="O56" s="108"/>
      <c r="S56" s="28"/>
      <c r="T56" s="28"/>
      <c r="U56" s="28"/>
      <c r="V56" s="28"/>
    </row>
    <row r="57" spans="2:22" x14ac:dyDescent="0.3">
      <c r="B57" s="89"/>
      <c r="C57" s="107"/>
      <c r="D57" s="107"/>
      <c r="E57" s="107"/>
      <c r="F57" s="107"/>
      <c r="G57" s="107"/>
      <c r="H57" s="107"/>
      <c r="I57" s="107"/>
      <c r="J57" s="107"/>
      <c r="K57" s="107"/>
      <c r="L57" s="107"/>
      <c r="M57" s="107"/>
      <c r="N57" s="107"/>
      <c r="O57" s="108"/>
      <c r="S57" s="28"/>
      <c r="T57" s="28"/>
      <c r="U57" s="28"/>
      <c r="V57" s="28"/>
    </row>
    <row r="58" spans="2:22" x14ac:dyDescent="0.3">
      <c r="C58" s="140"/>
      <c r="D58" s="118"/>
      <c r="E58" s="118"/>
      <c r="F58" s="118"/>
      <c r="S58" s="82"/>
    </row>
  </sheetData>
  <mergeCells count="24">
    <mergeCell ref="B6:O6"/>
    <mergeCell ref="B7:B8"/>
    <mergeCell ref="C7:O7"/>
    <mergeCell ref="B11:O11"/>
    <mergeCell ref="B12:B13"/>
    <mergeCell ref="C12:O12"/>
    <mergeCell ref="B16:N16"/>
    <mergeCell ref="B17:B18"/>
    <mergeCell ref="C17:N17"/>
    <mergeCell ref="B21:N21"/>
    <mergeCell ref="B22:B23"/>
    <mergeCell ref="C22:N22"/>
    <mergeCell ref="B27:O27"/>
    <mergeCell ref="B28:B29"/>
    <mergeCell ref="C28:O28"/>
    <mergeCell ref="B36:N36"/>
    <mergeCell ref="B37:B38"/>
    <mergeCell ref="C37:N37"/>
    <mergeCell ref="B45:N45"/>
    <mergeCell ref="B46:B47"/>
    <mergeCell ref="C46:F46"/>
    <mergeCell ref="B50:N50"/>
    <mergeCell ref="B51:B52"/>
    <mergeCell ref="C51:O51"/>
  </mergeCells>
  <dataValidations count="2">
    <dataValidation type="decimal" allowBlank="1" showInputMessage="1" showErrorMessage="1" errorTitle="Invalid data" error="Values between 0 and 2 must be entered." sqref="C25">
      <formula1>0</formula1>
      <formula2>2</formula2>
    </dataValidation>
    <dataValidation operator="greaterThan" allowBlank="1" showInputMessage="1" showErrorMessage="1" sqref="C9:N9"/>
  </dataValidations>
  <pageMargins left="0.7" right="0.7" top="0.75" bottom="0.75" header="0.3" footer="0.3"/>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Tariffs_ref. prices until 2023</vt:lpstr>
      <vt:lpstr>Ms_SFs, Short-term tar. 2020-23</vt:lpstr>
      <vt:lpstr>Calculation of SFs_Domestic</vt:lpstr>
      <vt:lpstr>Calculation of SFs_Sakiai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2019-11-07T11:56:21Z</dcterms:modified>
</cp:coreProperties>
</file>